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005" windowHeight="12000" activeTab="0"/>
  </bookViews>
  <sheets>
    <sheet name="Stavební rozpočet" sheetId="1" r:id="rId1"/>
    <sheet name="Rozpočet - Jen objekty celkem" sheetId="2" r:id="rId2"/>
    <sheet name="Stavební rozpočet - součet" sheetId="3" r:id="rId3"/>
    <sheet name="Výkaz výměr" sheetId="4" r:id="rId4"/>
    <sheet name="Krycí list rozpočtu" sheetId="5" r:id="rId5"/>
    <sheet name="VORN" sheetId="6" r:id="rId6"/>
    <sheet name="Krycí list rozpočtu (SO)" sheetId="7" r:id="rId7"/>
    <sheet name="VORN objektu (SO)" sheetId="8" r:id="rId8"/>
    <sheet name="Krycí list rozpočtu (SO 100a)" sheetId="9" r:id="rId9"/>
    <sheet name="Krycí list rozpočtu (SO 301)" sheetId="10" r:id="rId10"/>
    <sheet name="VORN objektu (SO 100a)" sheetId="11" r:id="rId11"/>
    <sheet name="VORN objektu (SO 301)" sheetId="12" r:id="rId12"/>
    <sheet name="Krycí list rozpočtu (SO 302)" sheetId="13" r:id="rId13"/>
    <sheet name="VORN objektu (SO 302)" sheetId="14" r:id="rId14"/>
    <sheet name="Krycí list rozpočtu (SO 303)" sheetId="15" r:id="rId15"/>
    <sheet name="VORN objektu (SO 303)" sheetId="16" r:id="rId16"/>
    <sheet name="Krycí list rozpočtu (SO 304)" sheetId="17" r:id="rId17"/>
    <sheet name="VORN objektu (SO 304)" sheetId="18" r:id="rId18"/>
    <sheet name="Krycí list rozpočtu (SO 305)" sheetId="19" r:id="rId19"/>
    <sheet name="VORN objektu (SO 305)" sheetId="20" r:id="rId20"/>
    <sheet name="Krycí list rozpočtu (SO 800)" sheetId="21" r:id="rId21"/>
    <sheet name="VORN objektu (SO 800)" sheetId="22" r:id="rId22"/>
    <sheet name="Krycí list rozpočtu (SO100b)" sheetId="23" r:id="rId23"/>
    <sheet name="VORN objektu (SO100b)" sheetId="24" r:id="rId24"/>
    <sheet name="Krycí list rozpočtu (SO304.1)" sheetId="25" r:id="rId25"/>
    <sheet name="VORN objektu (SO304.1)" sheetId="26" r:id="rId26"/>
  </sheets>
  <definedNames>
    <definedName name="vorn_sum">'VORN'!$I$36</definedName>
  </definedNames>
  <calcPr fullCalcOnLoad="1"/>
</workbook>
</file>

<file path=xl/sharedStrings.xml><?xml version="1.0" encoding="utf-8"?>
<sst xmlns="http://schemas.openxmlformats.org/spreadsheetml/2006/main" count="8250" uniqueCount="1445">
  <si>
    <t>979084319R00</t>
  </si>
  <si>
    <t>597103020RA100</t>
  </si>
  <si>
    <t>877435121R00</t>
  </si>
  <si>
    <t>360</t>
  </si>
  <si>
    <t>92</t>
  </si>
  <si>
    <t>Montáž tvarovek litin. odboč. přír. výkop DN 100</t>
  </si>
  <si>
    <t>899731114R00</t>
  </si>
  <si>
    <t>439</t>
  </si>
  <si>
    <t>Položka obsahuje hloubení jámy,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</si>
  <si>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877373121R00</t>
  </si>
  <si>
    <t>TAŽ.OC.DRÁT KRUHOVÝ MĚKKÝ POZINKOVANÝ ČSN 426403, ČSN 411343</t>
  </si>
  <si>
    <t>165</t>
  </si>
  <si>
    <t>Doba výstavby:</t>
  </si>
  <si>
    <t>Hloubené vykopávky</t>
  </si>
  <si>
    <t>198</t>
  </si>
  <si>
    <t>297</t>
  </si>
  <si>
    <t>261</t>
  </si>
  <si>
    <t>412</t>
  </si>
  <si>
    <t>899521411RT1</t>
  </si>
  <si>
    <t>Osazení stojat. obrub. bet.bez opěry,lože z C12/15</t>
  </si>
  <si>
    <t>162701105R00</t>
  </si>
  <si>
    <t>323</t>
  </si>
  <si>
    <t>650106461R00</t>
  </si>
  <si>
    <t>Projektant</t>
  </si>
  <si>
    <t>919735113R00</t>
  </si>
  <si>
    <t>67</t>
  </si>
  <si>
    <t>Ostatní rozpočtové náklady (VORN)</t>
  </si>
  <si>
    <t>použít paprskovitou mříž 150cm dle zadání MU- Milevsko.
včetně spodního rámu,spoj.materiálu a povrchové úpravy,</t>
  </si>
  <si>
    <t>209</t>
  </si>
  <si>
    <t>272</t>
  </si>
  <si>
    <t>226</t>
  </si>
  <si>
    <t>283</t>
  </si>
  <si>
    <t>Stožár osvětlovací uliční K 6-133/89/60</t>
  </si>
  <si>
    <t>Základ 15%</t>
  </si>
  <si>
    <t>183</t>
  </si>
  <si>
    <t>TBV-Q 45/24 KN spodní dílec dešťové vpusti DN 450</t>
  </si>
  <si>
    <t>Bourání konstrukcí z dílců prefa. betonových a ŽB</t>
  </si>
  <si>
    <t>379</t>
  </si>
  <si>
    <t>Elektrotvarovka - redukce FRIALEN MR D110/63</t>
  </si>
  <si>
    <t>650106121R00</t>
  </si>
  <si>
    <t>Vedlejší a ostatní rozpočtové náklady VORN</t>
  </si>
  <si>
    <t>591110011RRA</t>
  </si>
  <si>
    <t>103</t>
  </si>
  <si>
    <t>Obsyp potrubí bez prohození sypaniny</t>
  </si>
  <si>
    <t>460600001RT1</t>
  </si>
  <si>
    <t>424</t>
  </si>
  <si>
    <t>14221300</t>
  </si>
  <si>
    <t>HAWLE šoupátko 2800 DN 5/4" pro dom.příp. - voda</t>
  </si>
  <si>
    <t>1. zálivka po výsadbě</t>
  </si>
  <si>
    <t>59224349</t>
  </si>
  <si>
    <t>892671111R00</t>
  </si>
  <si>
    <t>16+11+1+2+3</t>
  </si>
  <si>
    <t>42200750</t>
  </si>
  <si>
    <t>166</t>
  </si>
  <si>
    <t>286535-R02</t>
  </si>
  <si>
    <t>6x pro DN 600</t>
  </si>
  <si>
    <t>979951122R00</t>
  </si>
  <si>
    <t>228</t>
  </si>
  <si>
    <t>DIO - 4X etapa.</t>
  </si>
  <si>
    <t>361</t>
  </si>
  <si>
    <t>Poplatek za uložení suti - beton, skupina odpadu 170101</t>
  </si>
  <si>
    <t>91</t>
  </si>
  <si>
    <t>Poklop EURO litinový samonivelační D400 SN600</t>
  </si>
  <si>
    <t>87</t>
  </si>
  <si>
    <t>Základ 21%</t>
  </si>
  <si>
    <t>Výsadba stromu s balem, v rovině, výšky do 200 cm</t>
  </si>
  <si>
    <t>20</t>
  </si>
  <si>
    <t>03VRN</t>
  </si>
  <si>
    <t>237</t>
  </si>
  <si>
    <t>59224364.A</t>
  </si>
  <si>
    <t>564851111RT4</t>
  </si>
  <si>
    <t>Dodávka</t>
  </si>
  <si>
    <t>NUS celkem z obj.</t>
  </si>
  <si>
    <t>336</t>
  </si>
  <si>
    <t>419</t>
  </si>
  <si>
    <t>Přesun hmot pro kabelovody jakéhokoliv rozsahu</t>
  </si>
  <si>
    <t>den</t>
  </si>
  <si>
    <t>2865447050</t>
  </si>
  <si>
    <t>Montáž tvarovek jednoos. plast. gum.kroužek DN 150</t>
  </si>
  <si>
    <t>167</t>
  </si>
  <si>
    <t>Náklady (Kč) - celkem</t>
  </si>
  <si>
    <t>Ukotvení dřeviny kůly D do 10 cm, dl. do 2 m</t>
  </si>
  <si>
    <t>Montáž vodovodních šoupátek ve výkopu DN 80</t>
  </si>
  <si>
    <t>BOX - ochrana kořenového systému včetně závlahového systému</t>
  </si>
  <si>
    <t>SO 800_9_</t>
  </si>
  <si>
    <t>448</t>
  </si>
  <si>
    <t>286550923</t>
  </si>
  <si>
    <t>338</t>
  </si>
  <si>
    <t>87_</t>
  </si>
  <si>
    <t>42293139</t>
  </si>
  <si>
    <t>171</t>
  </si>
  <si>
    <t>147</t>
  </si>
  <si>
    <t>Odstranění podkladu nad 50 m2,kam.drcené tl.20 cm</t>
  </si>
  <si>
    <t>Název stavby:</t>
  </si>
  <si>
    <t>SO 303_4_</t>
  </si>
  <si>
    <t>Ostatní materiál</t>
  </si>
  <si>
    <t>2865447070</t>
  </si>
  <si>
    <t>Skruž šachetní TBS-Q.1 100/50/12 PS</t>
  </si>
  <si>
    <t>48</t>
  </si>
  <si>
    <t>29</t>
  </si>
  <si>
    <t>Potrubí z trub plastických, skleněných a čedičových</t>
  </si>
  <si>
    <t>917832111RT5</t>
  </si>
  <si>
    <t>130900030RAD</t>
  </si>
  <si>
    <t>Č</t>
  </si>
  <si>
    <t>10371500</t>
  </si>
  <si>
    <t>na základě dodavatelské dokum. den</t>
  </si>
  <si>
    <t>89_</t>
  </si>
  <si>
    <t>Dovoz vody pro zálivku rostlin do 6 km</t>
  </si>
  <si>
    <t>Příplatek za dalších 0,30 m výšky spadiště jednod.</t>
  </si>
  <si>
    <t>230194007R00</t>
  </si>
  <si>
    <t>SO 301</t>
  </si>
  <si>
    <t>Projektové práce - realizační dokumentace</t>
  </si>
  <si>
    <t>Slepý stavební rozpočet - Jen objekty celkem</t>
  </si>
  <si>
    <t>Osazení stojat. obrub.bet. s opěrou,lože z C 12/15</t>
  </si>
  <si>
    <t>Poznámka:</t>
  </si>
  <si>
    <t>894422111RT1</t>
  </si>
  <si>
    <t>722120815R00</t>
  </si>
  <si>
    <t>Lokalita:</t>
  </si>
  <si>
    <t>899203111RT3</t>
  </si>
  <si>
    <t>79</t>
  </si>
  <si>
    <t>Vedlejší a ostatní rozpočtové náklady (SO304.1 - Provizorní vodovod s přípojkami)</t>
  </si>
  <si>
    <t>POLYNET typ 300/5 PP, balení á 100</t>
  </si>
  <si>
    <t>71</t>
  </si>
  <si>
    <t>16</t>
  </si>
  <si>
    <t>Zkouška těsnosti kanalizace DN do 800, vodou</t>
  </si>
  <si>
    <t>59224368.A</t>
  </si>
  <si>
    <t>PSV</t>
  </si>
  <si>
    <t>357</t>
  </si>
  <si>
    <t>446</t>
  </si>
  <si>
    <t>189</t>
  </si>
  <si>
    <t>24</t>
  </si>
  <si>
    <t>377</t>
  </si>
  <si>
    <t>Bez pevné podl.</t>
  </si>
  <si>
    <t>327</t>
  </si>
  <si>
    <t>Beton asfaltový ACO 16 obrusný, š.nad 3 m, tl.7 cm</t>
  </si>
  <si>
    <t>Celkem</t>
  </si>
  <si>
    <t>Hloubení rýh š.do 200 cm hor.3 do 50 m3,STROJNĚ</t>
  </si>
  <si>
    <t>Zařízení staveniště</t>
  </si>
  <si>
    <t>Dno šachetní přímé TBZ-Q.1 120/120 V80</t>
  </si>
  <si>
    <t>437</t>
  </si>
  <si>
    <t>SO 304_</t>
  </si>
  <si>
    <t>Zabezpečení konců kanal. potrubí DN do 300, vodou</t>
  </si>
  <si>
    <t>115001102R00</t>
  </si>
  <si>
    <t>Běžné stavební práce</t>
  </si>
  <si>
    <t>11_</t>
  </si>
  <si>
    <t>592238739</t>
  </si>
  <si>
    <t>Zřízení vpusti uliční z dílců typ UV - 50 normální</t>
  </si>
  <si>
    <t>460030011RT2</t>
  </si>
  <si>
    <t>871313121R00</t>
  </si>
  <si>
    <t>391</t>
  </si>
  <si>
    <t>413</t>
  </si>
  <si>
    <t>SO 304_8_</t>
  </si>
  <si>
    <t>4</t>
  </si>
  <si>
    <t>97</t>
  </si>
  <si>
    <t>121</t>
  </si>
  <si>
    <t>94</t>
  </si>
  <si>
    <t>Sejmutí drnu</t>
  </si>
  <si>
    <t>145</t>
  </si>
  <si>
    <t>použít ochranu kemene - dle zadání MU - Milevsko 3x</t>
  </si>
  <si>
    <t>60</t>
  </si>
  <si>
    <t>151101102R00</t>
  </si>
  <si>
    <t>Nakládání výkopku z hor.1-4 v množství nad 100 m3</t>
  </si>
  <si>
    <t>Základní rozpočtové náklady</t>
  </si>
  <si>
    <t>hmatová dlažba</t>
  </si>
  <si>
    <t>352</t>
  </si>
  <si>
    <t>Poplatek za recyklaci asfaltu, kusovost nad 1600 cm2 (skup.170302)</t>
  </si>
  <si>
    <t>235</t>
  </si>
  <si>
    <t>26</t>
  </si>
  <si>
    <t>Osazení poklopů litinových šoupátkových</t>
  </si>
  <si>
    <t>Objímka distanční typ f/g 361-400mm</t>
  </si>
  <si>
    <t>105</t>
  </si>
  <si>
    <t>28653336.A</t>
  </si>
  <si>
    <t>59224369.A</t>
  </si>
  <si>
    <t>Vodorovné přemístění výkopku z hor.1-4 do 2000 m</t>
  </si>
  <si>
    <t>673909992034</t>
  </si>
  <si>
    <t>Trubka tlaková RC1 PE100 32x3,0 mm PN16</t>
  </si>
  <si>
    <t>135</t>
  </si>
  <si>
    <t>332</t>
  </si>
  <si>
    <t>HAWLE šoupátko 4000E2 DN 100 přírubové, voda</t>
  </si>
  <si>
    <t>Konstrukce ze zemin</t>
  </si>
  <si>
    <t>Hloubení rýh š.do 200 cm hor.2 do 10000 m3,STROJNĚ</t>
  </si>
  <si>
    <t>253</t>
  </si>
  <si>
    <t>Pažnice z trub ocelových d 530/8</t>
  </si>
  <si>
    <t>Zkouška hutnící. 3x</t>
  </si>
  <si>
    <t>Celkem bez DPH</t>
  </si>
  <si>
    <t>těsnících kroužků. Trubky se dodávají standardně v červené barvě. Na jednom konci trubky je nasunuta spojka, která umožňuje napojení trubek.  Utěsnění proti vniknutí prachu a písku.  Nasunutím dvou profilovaných těsnění na spojovanétrubky je možné zabránit zaplavení vodou.</t>
  </si>
  <si>
    <t>122</t>
  </si>
  <si>
    <t>Ventil přímý d 63 x 2" PP či PE, vnější závit 2" + svěrné hrdlo d63</t>
  </si>
  <si>
    <t>Beton dle PN STAPPA 732400-P206  Konzistence dle ISO 4109, ISO 4110:  V1 -  zavlhlá, (korby) V2 -  zavlhlá, málo měkká (korby) V3 -  měkká, (korby) S3 -  velmi měkká (autodomíchávače) S3č - velmi měkká a čerpatelná (autodomíchávače</t>
  </si>
  <si>
    <t>Vedlejší a ostatní rozpočtové náklady</t>
  </si>
  <si>
    <t>184201114RAA</t>
  </si>
  <si>
    <t>Přirážka za 1 spoj elektrotvarovky d 110 mm</t>
  </si>
  <si>
    <t>899711122R00</t>
  </si>
  <si>
    <t>268</t>
  </si>
  <si>
    <t>291</t>
  </si>
  <si>
    <t>SO 303_8_</t>
  </si>
  <si>
    <t>138</t>
  </si>
  <si>
    <t>M21</t>
  </si>
  <si>
    <t>721_</t>
  </si>
  <si>
    <t>172</t>
  </si>
  <si>
    <t>SO_ _</t>
  </si>
  <si>
    <t>02VRN_</t>
  </si>
  <si>
    <t>960111221R00</t>
  </si>
  <si>
    <t>T-kus redukovaný z PE 63/32/63 mm</t>
  </si>
  <si>
    <t>45539103/CZ45539103</t>
  </si>
  <si>
    <t>438</t>
  </si>
  <si>
    <t>242</t>
  </si>
  <si>
    <t>223</t>
  </si>
  <si>
    <t>Osaz. bet. dílců šachet, dna, na kroužek, do 5,0 t</t>
  </si>
  <si>
    <t>15615235</t>
  </si>
  <si>
    <t>28657-001 R</t>
  </si>
  <si>
    <t>6</t>
  </si>
  <si>
    <t>Rozpočtové náklady v Kč</t>
  </si>
  <si>
    <t>všechna dna s čedičovou výstelkou, 1x i s obkladem</t>
  </si>
  <si>
    <t>68</t>
  </si>
  <si>
    <t>307</t>
  </si>
  <si>
    <t>Vedlejší a ostatní rozpočtové náklady (SO 301 - Dešťová kanalizace)</t>
  </si>
  <si>
    <t>Odstranění železobet. trub do DN 1200 mm,ve výkopu</t>
  </si>
  <si>
    <t>81</t>
  </si>
  <si>
    <t>426</t>
  </si>
  <si>
    <t>871433121R00</t>
  </si>
  <si>
    <t>216</t>
  </si>
  <si>
    <t>591100020RAB</t>
  </si>
  <si>
    <t>408</t>
  </si>
  <si>
    <t>H00_</t>
  </si>
  <si>
    <t>Výřez a montáž tvarovky z plastu na potrubí DN 400</t>
  </si>
  <si>
    <t>B</t>
  </si>
  <si>
    <t>119</t>
  </si>
  <si>
    <t>160</t>
  </si>
  <si>
    <t>Náklady na umístění stavby (NUS)</t>
  </si>
  <si>
    <t>343</t>
  </si>
  <si>
    <t>42</t>
  </si>
  <si>
    <t>SO 305_1_</t>
  </si>
  <si>
    <t>231</t>
  </si>
  <si>
    <t>Zkoušky</t>
  </si>
  <si>
    <t>034002VRN</t>
  </si>
  <si>
    <t>82</t>
  </si>
  <si>
    <t>Montáž trub z plastických hmot PE, PP, do 63 x 3,8</t>
  </si>
  <si>
    <t>Montáž</t>
  </si>
  <si>
    <t>899721112R00</t>
  </si>
  <si>
    <t>Vedlejší a ostatní rozpočtové náklady (SO100b - Neuznatelné náklady)</t>
  </si>
  <si>
    <t>229</t>
  </si>
  <si>
    <t>Datum, razítko a podpis</t>
  </si>
  <si>
    <t>01.08.2023</t>
  </si>
  <si>
    <t>Koš odpadkový nerez SLZN 22 nástěnný 12 l</t>
  </si>
  <si>
    <t>Poplatek za recyklaci, beton silně vyztužený, kusovost do 1600 cm2 (skup.170101)</t>
  </si>
  <si>
    <t>ZRN celkem</t>
  </si>
  <si>
    <t>Zabezpečení staveniště - oplocení</t>
  </si>
  <si>
    <t>2865190009-R</t>
  </si>
  <si>
    <t>28653517</t>
  </si>
  <si>
    <t>Tlaková zkouška vodovodního potrubí do DN 80</t>
  </si>
  <si>
    <t>17_</t>
  </si>
  <si>
    <t>Výložník ocelový 1ramenný nad 35 kg</t>
  </si>
  <si>
    <t>Krycí list slepého rozpočtu (SO304.1 - Provizorní vodovod s přípojkami)</t>
  </si>
  <si>
    <t>sada</t>
  </si>
  <si>
    <t>SO 302</t>
  </si>
  <si>
    <t>382</t>
  </si>
  <si>
    <t>979990103R00</t>
  </si>
  <si>
    <t>431</t>
  </si>
  <si>
    <t>Montáž svítidla veřejného osvětlení na výložník</t>
  </si>
  <si>
    <t>69</t>
  </si>
  <si>
    <t>Chodník ze žulových kostek</t>
  </si>
  <si>
    <t>304</t>
  </si>
  <si>
    <t>141</t>
  </si>
  <si>
    <t>Montáž vodovodních šoupátek ve výkopu DN 100</t>
  </si>
  <si>
    <t>Prstenec vyrovnávací šachetní TBW-Q.1 63/10</t>
  </si>
  <si>
    <t>440</t>
  </si>
  <si>
    <t>Odbočka kanal. PP SN8-10 D 315/160 45°</t>
  </si>
  <si>
    <t>Z99999_</t>
  </si>
  <si>
    <t>115001104R00</t>
  </si>
  <si>
    <t>33</t>
  </si>
  <si>
    <t>270</t>
  </si>
  <si>
    <t>258</t>
  </si>
  <si>
    <t>263</t>
  </si>
  <si>
    <t>SO_9_</t>
  </si>
  <si>
    <t>DPH 15%</t>
  </si>
  <si>
    <t>331</t>
  </si>
  <si>
    <t>Vodorovné značení dělicích čar 12 cm střík.barvou</t>
  </si>
  <si>
    <t>349</t>
  </si>
  <si>
    <t>78</t>
  </si>
  <si>
    <t>286550966</t>
  </si>
  <si>
    <t>Pažení a rozepření stěn rýh - příložné - hl.do 2 m</t>
  </si>
  <si>
    <t>162403111R00</t>
  </si>
  <si>
    <t>Krycí list slepého rozpočtu</t>
  </si>
  <si>
    <t>120</t>
  </si>
  <si>
    <t>63</t>
  </si>
  <si>
    <t>891261111R00</t>
  </si>
  <si>
    <t>230</t>
  </si>
  <si>
    <t>Trubka kanalizační PP SN 10 630x3000mm</t>
  </si>
  <si>
    <t>375</t>
  </si>
  <si>
    <t>03VRN_</t>
  </si>
  <si>
    <t>979084216R00</t>
  </si>
  <si>
    <t>3. zálivka do předání stavby</t>
  </si>
  <si>
    <t>184921093R00</t>
  </si>
  <si>
    <t>322</t>
  </si>
  <si>
    <t>154</t>
  </si>
  <si>
    <t>Koleno kanalizační PP SN 8-10 160/30°</t>
  </si>
  <si>
    <t>192</t>
  </si>
  <si>
    <t>422</t>
  </si>
  <si>
    <t>132201210R00</t>
  </si>
  <si>
    <t>Hloubení jamek 50% výměny půdy do 1 m3, svah 1:2</t>
  </si>
  <si>
    <t>722170804R00</t>
  </si>
  <si>
    <t>137</t>
  </si>
  <si>
    <t>324</t>
  </si>
  <si>
    <t>182301121R00</t>
  </si>
  <si>
    <t>178</t>
  </si>
  <si>
    <t>979990104R00</t>
  </si>
  <si>
    <t>Základna</t>
  </si>
  <si>
    <t>Montáž trub z plastu, gumový kroužek, DN 800</t>
  </si>
  <si>
    <t>25</t>
  </si>
  <si>
    <t>195</t>
  </si>
  <si>
    <t>114211101R00</t>
  </si>
  <si>
    <t>kus</t>
  </si>
  <si>
    <t>Přeložení nebo složení výkopku z hor.1-4</t>
  </si>
  <si>
    <t>Odkopávky a prokopávky</t>
  </si>
  <si>
    <t>Zkouška těsnosti kanalizace DN do 300, vodou</t>
  </si>
  <si>
    <t>ověřit délku před objednáním</t>
  </si>
  <si>
    <t>Utěsnění chráničky manžetou DN 200</t>
  </si>
  <si>
    <t>Dodávky</t>
  </si>
  <si>
    <t>SO 305_</t>
  </si>
  <si>
    <t>219</t>
  </si>
  <si>
    <t>892581111R00</t>
  </si>
  <si>
    <t>Přípl.k dopravě vybour.trub za dalš.1 km,do DN 800</t>
  </si>
  <si>
    <t>Prstenec vyrovnávací šachetní TBW-Q.1 63/12</t>
  </si>
  <si>
    <t>Kontrola kanalizace TV kamerou do 500 m</t>
  </si>
  <si>
    <t>soustava</t>
  </si>
  <si>
    <t>42228254 - R</t>
  </si>
  <si>
    <t>Manžeta na chráničky EPDM 320 x 410 mm</t>
  </si>
  <si>
    <t>Sejmutí ornice, pl. do 400 m2, přemístění do 50 m</t>
  </si>
  <si>
    <t>74910312</t>
  </si>
  <si>
    <t>Ostatní mat.</t>
  </si>
  <si>
    <t>292</t>
  </si>
  <si>
    <t>316735704</t>
  </si>
  <si>
    <t>Spojka rozebíratelná z PE d 32 mm</t>
  </si>
  <si>
    <t>HAWLE pas navrtávací 5250 DN 100 - 5/4" závitový</t>
  </si>
  <si>
    <t>130</t>
  </si>
  <si>
    <t>SO 800_8_</t>
  </si>
  <si>
    <t>Přechod PE - kov vnitřní závit 32 x 5/4"</t>
  </si>
  <si>
    <t>Utěsnění přípojek do DN 200 při zkoušce kanal.</t>
  </si>
  <si>
    <t>Cenová</t>
  </si>
  <si>
    <t>273443888</t>
  </si>
  <si>
    <t>044002VRN</t>
  </si>
  <si>
    <t>42273330 -R</t>
  </si>
  <si>
    <t>Protlak z ocel. trub beraněný, v hor.1-4, D 219 mm</t>
  </si>
  <si>
    <t>HAWLE souprava zemní č. 9601-voda, L=1,0-1,6 m</t>
  </si>
  <si>
    <t>Montáž přesuvek z plastu, gumový kroužek, DN 400</t>
  </si>
  <si>
    <t>281</t>
  </si>
  <si>
    <t>310</t>
  </si>
  <si>
    <t>133</t>
  </si>
  <si>
    <t>SO 305</t>
  </si>
  <si>
    <t>Deska nosná šoupátkového poklopu</t>
  </si>
  <si>
    <t>Stavební úprava ulice včetně inž. sítí</t>
  </si>
  <si>
    <t>877252121R00</t>
  </si>
  <si>
    <t>254</t>
  </si>
  <si>
    <t>422915501</t>
  </si>
  <si>
    <t>175</t>
  </si>
  <si>
    <t>SO 304_4_</t>
  </si>
  <si>
    <t>170</t>
  </si>
  <si>
    <t>HSV prac</t>
  </si>
  <si>
    <t>Osazení betonových dílců šachet do 1,4 t</t>
  </si>
  <si>
    <t>139</t>
  </si>
  <si>
    <t>129</t>
  </si>
  <si>
    <t>115001105R00</t>
  </si>
  <si>
    <t>998225311R00</t>
  </si>
  <si>
    <t>151</t>
  </si>
  <si>
    <t>Elektroinstalace</t>
  </si>
  <si>
    <t>Odstranění  sloupků dopravních značek z Al patek</t>
  </si>
  <si>
    <t>Skruž šachetní TBS-Q.1 100/100/12 PS</t>
  </si>
  <si>
    <t>13</t>
  </si>
  <si>
    <t>181201102R00</t>
  </si>
  <si>
    <t>Lože pod potrubí z kameniva těženého 0 - 4 mm</t>
  </si>
  <si>
    <t>Beton asfalt. ACL 16+ ložný, š. nad 3 m, tl. 7 cm</t>
  </si>
  <si>
    <t>358</t>
  </si>
  <si>
    <t>Vedlejší a ostatní rozpočtové náklady (SO 305 - Vodovodní přípojky)</t>
  </si>
  <si>
    <t>971026451R00</t>
  </si>
  <si>
    <t>289</t>
  </si>
  <si>
    <t>212810010RAD</t>
  </si>
  <si>
    <t>Výřez a montáž tvarovky z plastu na potrubí DN 800</t>
  </si>
  <si>
    <t>nové pro šoupata</t>
  </si>
  <si>
    <t>895941111R00</t>
  </si>
  <si>
    <t>392</t>
  </si>
  <si>
    <t>325</t>
  </si>
  <si>
    <t>232</t>
  </si>
  <si>
    <t>"M"</t>
  </si>
  <si>
    <t>Pažení a rozepření stěn rýh - příložné - hl.do 4 m</t>
  </si>
  <si>
    <t>Krycí list slepého rozpočtu (SO 100a - uznatelné náklady)</t>
  </si>
  <si>
    <t>892855115R00</t>
  </si>
  <si>
    <t>230193006R00</t>
  </si>
  <si>
    <t>330</t>
  </si>
  <si>
    <t>140</t>
  </si>
  <si>
    <t>97_</t>
  </si>
  <si>
    <t>2865447057</t>
  </si>
  <si>
    <t>KS</t>
  </si>
  <si>
    <t>894423111RT1</t>
  </si>
  <si>
    <t>877425121R00</t>
  </si>
  <si>
    <t>Chem. odplevelení před založ. granulátem, v rovině</t>
  </si>
  <si>
    <t>SO 302_1_</t>
  </si>
  <si>
    <t>2865447056</t>
  </si>
  <si>
    <t>180</t>
  </si>
  <si>
    <t>Cena/MJ</t>
  </si>
  <si>
    <t>Konec výstavby:</t>
  </si>
  <si>
    <t>899202111R00</t>
  </si>
  <si>
    <t>409</t>
  </si>
  <si>
    <t>H22_</t>
  </si>
  <si>
    <t>127</t>
  </si>
  <si>
    <t>577132111R00</t>
  </si>
  <si>
    <t>Kód</t>
  </si>
  <si>
    <t>S</t>
  </si>
  <si>
    <t>04VRN</t>
  </si>
  <si>
    <t>43</t>
  </si>
  <si>
    <t>171206111R00</t>
  </si>
  <si>
    <t>200</t>
  </si>
  <si>
    <t>Zřízení kabelového lože v rýze š. do 65 cm z písku</t>
  </si>
  <si>
    <t>Vodorovná doprava vybour. hmot po suchu do 5 km</t>
  </si>
  <si>
    <t>286134112</t>
  </si>
  <si>
    <t>Dno šachetní přímé TBZ-Q.1 100/100 KOM V60</t>
  </si>
  <si>
    <t>Lože pod potrubí z kameniva těženého 0 - 8 mm</t>
  </si>
  <si>
    <t>Protlak z ocel. trub beraněný, v hor.1-4, D 530 mm</t>
  </si>
  <si>
    <t>02VRN</t>
  </si>
  <si>
    <t>276</t>
  </si>
  <si>
    <t>436</t>
  </si>
  <si>
    <t>389</t>
  </si>
  <si>
    <t>Odstranění betonových trub do DN 150 mm, ve výkopu</t>
  </si>
  <si>
    <t>221</t>
  </si>
  <si>
    <t>435</t>
  </si>
  <si>
    <t>Úprava podloží a základové spáry</t>
  </si>
  <si>
    <t>Bourání konstrukcí z betonu prostého ve výkopu</t>
  </si>
  <si>
    <t>213151121R00</t>
  </si>
  <si>
    <t>Hloubení pro podzemní stěny, ražení a hloubení důlní</t>
  </si>
  <si>
    <t>386</t>
  </si>
  <si>
    <t>MJ</t>
  </si>
  <si>
    <t>SO 301_9_</t>
  </si>
  <si>
    <t>45</t>
  </si>
  <si>
    <t>40</t>
  </si>
  <si>
    <t>4. zálivka</t>
  </si>
  <si>
    <t>Osazení poklopů litinových hydrantových</t>
  </si>
  <si>
    <t>BEST ztracené bednění 20 250/500/200 mm</t>
  </si>
  <si>
    <t>Spojka kanalizační PP SN 8-10 D 400</t>
  </si>
  <si>
    <t>319</t>
  </si>
  <si>
    <t>374</t>
  </si>
  <si>
    <t>Pohotovost čerp.soupravy, výška 10 m, přítok 500 l</t>
  </si>
  <si>
    <t>H22</t>
  </si>
  <si>
    <t>130001101R00</t>
  </si>
  <si>
    <t>Montáž tvarovek odboč. plast. gum. kroužek DN 300</t>
  </si>
  <si>
    <t>Doplňující konstrukce a práce na pozemních komunikacích a zpevněných plochách</t>
  </si>
  <si>
    <t>SO 800_</t>
  </si>
  <si>
    <t>Doplňkové náklady</t>
  </si>
  <si>
    <t>998289093R00</t>
  </si>
  <si>
    <t>224</t>
  </si>
  <si>
    <t>SO 301_8_</t>
  </si>
  <si>
    <t>356</t>
  </si>
  <si>
    <t>Osazení poklopu s rámem do 100 kg</t>
  </si>
  <si>
    <t>RTS komentář:</t>
  </si>
  <si>
    <t>132</t>
  </si>
  <si>
    <t>Zabezpečení konců kanal. potrubí DN do 400, vodou</t>
  </si>
  <si>
    <t>220</t>
  </si>
  <si>
    <t>Hloubení nezapaž. jam hor.3 do 1000 m3, STROJNĚ</t>
  </si>
  <si>
    <t>PSV prac</t>
  </si>
  <si>
    <t>HSV</t>
  </si>
  <si>
    <t>966006211R00</t>
  </si>
  <si>
    <t>892591111R00</t>
  </si>
  <si>
    <t>Vedlejší rozpočtové náklady VRN</t>
  </si>
  <si>
    <t>Postřik spojovací z KAE, množství zbytkového asfaltu 0,3 kg/m2</t>
  </si>
  <si>
    <t>180404111R00</t>
  </si>
  <si>
    <t>Fólie výstražná z PVC šedá, šířka 30 cm</t>
  </si>
  <si>
    <t>396</t>
  </si>
  <si>
    <t>Nasunutí potrubní sekce do chráničky DN 400</t>
  </si>
  <si>
    <t>151101112R00</t>
  </si>
  <si>
    <t>9</t>
  </si>
  <si>
    <t>Odstranění pažení stěn rýh - příložné - hl. do 4 m</t>
  </si>
  <si>
    <t>230195041.R</t>
  </si>
  <si>
    <t>328</t>
  </si>
  <si>
    <t>342</t>
  </si>
  <si>
    <t>Jáma stožáru A s patkou EZP, ve svahu, hor.3</t>
  </si>
  <si>
    <t>320</t>
  </si>
  <si>
    <t>SO100b_</t>
  </si>
  <si>
    <t>143</t>
  </si>
  <si>
    <t>104</t>
  </si>
  <si>
    <t>Různé dokončovací konstrukce a práce inženýrských staveb</t>
  </si>
  <si>
    <t>Vpusť k žlabu DN 100 polymerbetonová či betonová D400, litinový rošt</t>
  </si>
  <si>
    <t>Protlak z ocel. trub beraněný, v hor.1-4, D 426 mm</t>
  </si>
  <si>
    <t>Manžeta na chráničky EPDM 400 x 530 mm</t>
  </si>
  <si>
    <t>393</t>
  </si>
  <si>
    <t>Vodovodní přípojky</t>
  </si>
  <si>
    <t>15</t>
  </si>
  <si>
    <t>Montáž přesuvek z plastu, gumový kroužek, DN 600</t>
  </si>
  <si>
    <t>59224373.A</t>
  </si>
  <si>
    <t>Montáž hydrantů podzemních DN 80</t>
  </si>
  <si>
    <t>95</t>
  </si>
  <si>
    <t>378</t>
  </si>
  <si>
    <t>Zabezpečení konců kanal. potrubí DN do 800, vodou</t>
  </si>
  <si>
    <t>ISWORK</t>
  </si>
  <si>
    <t>57_</t>
  </si>
  <si>
    <t>Celkem včetně DPH</t>
  </si>
  <si>
    <t>Celkem NUS</t>
  </si>
  <si>
    <t>213151111R00</t>
  </si>
  <si>
    <t>142</t>
  </si>
  <si>
    <t>Podklad z obal kamen.ACP 22+, š.nad 3 m, tl. 9 cm</t>
  </si>
  <si>
    <t>Základ 0%</t>
  </si>
  <si>
    <t>252</t>
  </si>
  <si>
    <t>156</t>
  </si>
  <si>
    <t>286134119</t>
  </si>
  <si>
    <t>418</t>
  </si>
  <si>
    <t>199</t>
  </si>
  <si>
    <t>SO 100a_2_</t>
  </si>
  <si>
    <t>150</t>
  </si>
  <si>
    <t>S_</t>
  </si>
  <si>
    <t>Zásyp jam,rýh a šachet štěrkopískem</t>
  </si>
  <si>
    <t>Hnojivo SLIVAMIX - Tablety</t>
  </si>
  <si>
    <t>260</t>
  </si>
  <si>
    <t>Osazení betonových dílců šachet do 0,5 t</t>
  </si>
  <si>
    <t>121101101R00</t>
  </si>
  <si>
    <t>52</t>
  </si>
  <si>
    <t>118</t>
  </si>
  <si>
    <t>Drát tažený pozinkovaný 11 343  D 10,00 mm</t>
  </si>
  <si>
    <t>273443898</t>
  </si>
  <si>
    <t>113107222RAB</t>
  </si>
  <si>
    <t>271</t>
  </si>
  <si>
    <t>02656031</t>
  </si>
  <si>
    <t>Deska zákrytová nádrže PNO 240/190/25 ZDP-14</t>
  </si>
  <si>
    <t>Rozebrání dlažeb ze zámkové dlažby v kamenivu</t>
  </si>
  <si>
    <t>Trubka tlaková  RC1 PE100 63x3,8 mm PN10</t>
  </si>
  <si>
    <t>51</t>
  </si>
  <si>
    <t>Mříž vtoková KM14P EUROPA D400 rovná 50/50</t>
  </si>
  <si>
    <t>Osaz.svislé dopr.značky a sloupku,Al patka, základ</t>
  </si>
  <si>
    <t>286538080</t>
  </si>
  <si>
    <t>Milevsko</t>
  </si>
  <si>
    <t>227</t>
  </si>
  <si>
    <t>Přesuny sutí</t>
  </si>
  <si>
    <t>269</t>
  </si>
  <si>
    <t>401</t>
  </si>
  <si>
    <t>Mont prac</t>
  </si>
  <si>
    <t>Výřez a montáž tvarovky zplastu na potrubí DN 600</t>
  </si>
  <si>
    <t>Objímka distanční PEHD 100-111 mm</t>
  </si>
  <si>
    <t>44</t>
  </si>
  <si>
    <t>Beton C 16/20 - X0 - Dmax 22 mm - S2 - struskoportlandský CEM II</t>
  </si>
  <si>
    <t>Koleno 15° d110 SDR11 PE100RC PN16</t>
  </si>
  <si>
    <t>Krycí list slepého rozpočtu (SO 800 - sadové úpravy)</t>
  </si>
  <si>
    <t>Příplatek k odvozu za každý další 1 km</t>
  </si>
  <si>
    <t>877162121R00</t>
  </si>
  <si>
    <t>Přípojky jednotné kanalizace</t>
  </si>
  <si>
    <t>h</t>
  </si>
  <si>
    <t>SO_Z_</t>
  </si>
  <si>
    <t>Zkoušky - 8x kontrolní zkouška zať deskou</t>
  </si>
  <si>
    <t>F</t>
  </si>
  <si>
    <t>Štěrkodrtě frakce 0-32 A</t>
  </si>
  <si>
    <t>359</t>
  </si>
  <si>
    <t>Elektrotvarovka - spojka d32</t>
  </si>
  <si>
    <t>23</t>
  </si>
  <si>
    <t>Trubka kanalizační PP SN 10 630x6000mm</t>
  </si>
  <si>
    <t>SO 301_1_</t>
  </si>
  <si>
    <t>896211211R00</t>
  </si>
  <si>
    <t>917862111RV3</t>
  </si>
  <si>
    <t>262</t>
  </si>
  <si>
    <t>58380129</t>
  </si>
  <si>
    <t>128</t>
  </si>
  <si>
    <t>SO 100a_9_</t>
  </si>
  <si>
    <t>Potrubí z trub litinových</t>
  </si>
  <si>
    <t>59</t>
  </si>
  <si>
    <t>250</t>
  </si>
  <si>
    <t>28_</t>
  </si>
  <si>
    <t>Krycí list slepého rozpočtu (SO 301 - Dešťová kanalizace)</t>
  </si>
  <si>
    <t>282</t>
  </si>
  <si>
    <t>Utěsnění chráničky manžetou DN 400/300</t>
  </si>
  <si>
    <t>109</t>
  </si>
  <si>
    <t>t</t>
  </si>
  <si>
    <t>429</t>
  </si>
  <si>
    <t>355</t>
  </si>
  <si>
    <t>894423114R00</t>
  </si>
  <si>
    <t>117</t>
  </si>
  <si>
    <t>877393122R00</t>
  </si>
  <si>
    <t> </t>
  </si>
  <si>
    <t>162701109R00</t>
  </si>
  <si>
    <t>53</t>
  </si>
  <si>
    <t>246</t>
  </si>
  <si>
    <t>Žlab odvodňovací polymerbeton či beton, zatížení D400 kN</t>
  </si>
  <si>
    <t>295</t>
  </si>
  <si>
    <t>857242121R00</t>
  </si>
  <si>
    <t>99</t>
  </si>
  <si>
    <t>273443897</t>
  </si>
  <si>
    <t>161</t>
  </si>
  <si>
    <t>Průzkumy, geodetické a projektové práce</t>
  </si>
  <si>
    <t>892673111R00</t>
  </si>
  <si>
    <t>107</t>
  </si>
  <si>
    <t>012002VRN</t>
  </si>
  <si>
    <t>243</t>
  </si>
  <si>
    <t>Výkup kovů - litina, velikost nad 40 x 40 cm</t>
  </si>
  <si>
    <t>405</t>
  </si>
  <si>
    <t>915701111R00</t>
  </si>
  <si>
    <t>ocelový chránič kmene</t>
  </si>
  <si>
    <t>Lavička MONA s opěradlem 1700x650x690 mm akát/kov</t>
  </si>
  <si>
    <t>59224353.A</t>
  </si>
  <si>
    <t>115101201R00</t>
  </si>
  <si>
    <t>01VRN_</t>
  </si>
  <si>
    <t>125</t>
  </si>
  <si>
    <t>Koleno 45° elektrosvařovací ELGEF Plus d 110 mm</t>
  </si>
  <si>
    <t>SO 303_1_</t>
  </si>
  <si>
    <t>Tvar. hrdl.s přír.odb. MMA DN100/ 80 PN 16, jištěná hrdla</t>
  </si>
  <si>
    <t>42293250</t>
  </si>
  <si>
    <t>Desinfekce vodovodního potrubí do DN 70</t>
  </si>
  <si>
    <t>230180021R00</t>
  </si>
  <si>
    <t>Výplň dutin cementopopílkovou suspenzí</t>
  </si>
  <si>
    <t>JKSO:</t>
  </si>
  <si>
    <t>399</t>
  </si>
  <si>
    <t>45_</t>
  </si>
  <si>
    <t>Přesun hmot, oprava komunikací, kryt živič. a bet.</t>
  </si>
  <si>
    <t>85</t>
  </si>
  <si>
    <t>286144827</t>
  </si>
  <si>
    <t>564851111RT2</t>
  </si>
  <si>
    <t>64</t>
  </si>
  <si>
    <t>Osvětlovací stožár bezpaticový - uliční třístupňový K  TYPY VÝLOŽNÍKŮ:  SK, SKA, SKB, SKC, SKD (1-4ramenné), nebo lze instalovat svítidlo přímo na dřík  POUŽITÍ:  osvětlení sadů, parků, pěších zón a vedlejších komunikací  POVRCHOVÁ ÚPRAVA:  žárové zinkování podle normy DIN EN ISO 1461  metalizace Zn+Al v min. tloušťce 160 mikronů  nátěr základní barvou  nátěry dle barevného odstínu tabulek barev RAL  PROVEDENÍ:  spodní část dříku je opatřena otvorem s dvířky pro montáž svorkovnice  v ose dvířek jsou dva protilehlé oválné otvory pro průchod kabelů  OSTATNÍ NABÍDKA:  stožárová výzbroj svítidla se zdrojem  POUŽITÉ MATERIÁLY:  ocelové svařované a bezešvé trubky ČSN 11343,11353,11373  výrobek odpovídá normě ČSN 348340 a souboru norem ČSN - EN 40</t>
  </si>
  <si>
    <t>Vybourání otv. zeď kam. pl. 0,25 m2, tl. 45 cm, MC</t>
  </si>
  <si>
    <t>894421112R00</t>
  </si>
  <si>
    <t>422935304</t>
  </si>
  <si>
    <t>18_</t>
  </si>
  <si>
    <t>SO 304_1_</t>
  </si>
  <si>
    <t>896290111R00</t>
  </si>
  <si>
    <t>255</t>
  </si>
  <si>
    <t>28655303</t>
  </si>
  <si>
    <t>60517100</t>
  </si>
  <si>
    <t>Náklady (Kč) - dodávka</t>
  </si>
  <si>
    <t>197</t>
  </si>
  <si>
    <t>Geotextilie FILTEK 300 g/m2 ze 100% PP</t>
  </si>
  <si>
    <t>Vedlejší a ostatní rozpočtové náklady (SO 304 - Přeložka vodovodního řadu)</t>
  </si>
  <si>
    <t>329</t>
  </si>
  <si>
    <t>SO 800_2_</t>
  </si>
  <si>
    <t>Geotextilie tkaná Geolon PET 100, role 5 x 300 m</t>
  </si>
  <si>
    <t>Odstranění asfaltové vrstvy pl.nad 50 m2, tl.10 cm</t>
  </si>
  <si>
    <t>mezi dnem, skružemi a konusem</t>
  </si>
  <si>
    <t>Montáž výložníku pro svítidlo 1 ramenný nad 35 kg</t>
  </si>
  <si>
    <t>12_</t>
  </si>
  <si>
    <t>Montáž přesuvek z plastu, gumový kroužek, DN 300</t>
  </si>
  <si>
    <t>77</t>
  </si>
  <si>
    <t>210204104RS2</t>
  </si>
  <si>
    <t>Tlaková zkouška vodovodního potrubí do DN 125</t>
  </si>
  <si>
    <t>Ochranný nátěr kmene před teplotními vlivy (ARBO-FLEX) včetně  dodávky nátěru</t>
  </si>
  <si>
    <t>233</t>
  </si>
  <si>
    <t>721242116R00</t>
  </si>
  <si>
    <t>Prstenec vyrovnávací šachetní TBW-Q.1 63/8</t>
  </si>
  <si>
    <t>TBV-Q 45/65 SZ 15 PVC skruž vpusti DN 450</t>
  </si>
  <si>
    <t>DN celkem</t>
  </si>
  <si>
    <t>Vodorovné značení proužků š.25 cm střík.barvou</t>
  </si>
  <si>
    <t>162401102R00</t>
  </si>
  <si>
    <t>SO 800</t>
  </si>
  <si>
    <t>444</t>
  </si>
  <si>
    <t>421</t>
  </si>
  <si>
    <t>Komunikace pozemní a letiště</t>
  </si>
  <si>
    <t>Založení hřišťového trávníku výsevem na ornici</t>
  </si>
  <si>
    <t>592238712</t>
  </si>
  <si>
    <t>286</t>
  </si>
  <si>
    <t>892583111R00</t>
  </si>
  <si>
    <t>286144835</t>
  </si>
  <si>
    <t>Zásyp jam, rýh, šachet se zhutněním</t>
  </si>
  <si>
    <t>116</t>
  </si>
  <si>
    <t>GROUPCODE</t>
  </si>
  <si>
    <t>230180069R00</t>
  </si>
  <si>
    <t>146</t>
  </si>
  <si>
    <t>Vodorovná doprava vybour.trub do 1 km, do DN 800</t>
  </si>
  <si>
    <t>0</t>
  </si>
  <si>
    <t>SO304.1_1_</t>
  </si>
  <si>
    <t>182</t>
  </si>
  <si>
    <t>894423111R00</t>
  </si>
  <si>
    <t>597101113RT1</t>
  </si>
  <si>
    <t>Odbočka sedlová na hladké potrubí DN 400 až 800, odbočka DN 160</t>
  </si>
  <si>
    <t>Provozní vlivy</t>
  </si>
  <si>
    <t>181300012RAA</t>
  </si>
  <si>
    <t>979999996R00</t>
  </si>
  <si>
    <t>979999979R00</t>
  </si>
  <si>
    <t>5</t>
  </si>
  <si>
    <t>Kladení dlažby velké kostky, lože z MC tl. 5 cm</t>
  </si>
  <si>
    <t>892916111R00</t>
  </si>
  <si>
    <t>Trubka kabelová chránička KOPODUR KD 09125</t>
  </si>
  <si>
    <t>nátěřy</t>
  </si>
  <si>
    <t>59224358.A</t>
  </si>
  <si>
    <t>871373121R00</t>
  </si>
  <si>
    <t>203</t>
  </si>
  <si>
    <t>394</t>
  </si>
  <si>
    <t>Příplatek k vod. přemístění hor.1-4 za další 1 km</t>
  </si>
  <si>
    <t>248</t>
  </si>
  <si>
    <t>591141111R00</t>
  </si>
  <si>
    <t>Postřik spojovací z KAE modifikované, množství zbytkového asfaltu 0,4 kg/m2</t>
  </si>
  <si>
    <t>59224346</t>
  </si>
  <si>
    <t>183102221R00</t>
  </si>
  <si>
    <t>SO304.1</t>
  </si>
  <si>
    <t>573231123R00</t>
  </si>
  <si>
    <t>16+9+40</t>
  </si>
  <si>
    <t>144</t>
  </si>
  <si>
    <t>416</t>
  </si>
  <si>
    <t>264</t>
  </si>
  <si>
    <t>Druh stavby:</t>
  </si>
  <si>
    <t>Přípravné a přidružené práce</t>
  </si>
  <si>
    <t>892593111R00</t>
  </si>
  <si>
    <t>Zabezpečovací práce - archeologický dohled</t>
  </si>
  <si>
    <t>TBV-10/a prstenec</t>
  </si>
  <si>
    <t>SO 305_8_</t>
  </si>
  <si>
    <t>Zpevňování hornin a konstrukcí</t>
  </si>
  <si>
    <t>162</t>
  </si>
  <si>
    <t>Elektrotvarovka - koleno 30°  FRIALEN W30 d110</t>
  </si>
  <si>
    <t>SO_</t>
  </si>
  <si>
    <t>16+1</t>
  </si>
  <si>
    <t>891269111R00</t>
  </si>
  <si>
    <t>Kabel CYKY-m 750 V 5 žil,4 až 25 mm2,volně uložený</t>
  </si>
  <si>
    <t>238</t>
  </si>
  <si>
    <t>96</t>
  </si>
  <si>
    <t>316</t>
  </si>
  <si>
    <t>231SADVD</t>
  </si>
  <si>
    <t>333</t>
  </si>
  <si>
    <t>Zpracováno dne:</t>
  </si>
  <si>
    <t>919726212R00</t>
  </si>
  <si>
    <t>003VD</t>
  </si>
  <si>
    <t>55244411</t>
  </si>
  <si>
    <t>552700804</t>
  </si>
  <si>
    <t>302</t>
  </si>
  <si>
    <t>230195007R00</t>
  </si>
  <si>
    <t>299</t>
  </si>
  <si>
    <t>Montáž tvarovek litin. jednoos.přír. výkop DN 80</t>
  </si>
  <si>
    <t>202</t>
  </si>
  <si>
    <t>231_</t>
  </si>
  <si>
    <t>230193010R00</t>
  </si>
  <si>
    <t>420</t>
  </si>
  <si>
    <t>58922151</t>
  </si>
  <si>
    <t>OK 12-14, vysokokmen (výška nasazení koruny 220cm), termín výsadby 05-07 (strom z dovozu, produkce z</t>
  </si>
  <si>
    <t>Trubka kanalizační PP SN 10 400x3000mm</t>
  </si>
  <si>
    <t>194</t>
  </si>
  <si>
    <t>353</t>
  </si>
  <si>
    <t>Odstranění podkladu nad 50 m2,kam.drcené tl.30 cm</t>
  </si>
  <si>
    <t>Trubka OC s podél. svarem   426x8 mm</t>
  </si>
  <si>
    <t>Silniční provoz - DIO, DIR a dopravní značení</t>
  </si>
  <si>
    <t>215901101R00</t>
  </si>
  <si>
    <t>Ražení a hloubení tunelářské</t>
  </si>
  <si>
    <t>14362522</t>
  </si>
  <si>
    <t>113106002RA0</t>
  </si>
  <si>
    <t>31.10.2024</t>
  </si>
  <si>
    <t>10</t>
  </si>
  <si>
    <t>212</t>
  </si>
  <si>
    <t>286134111</t>
  </si>
  <si>
    <t>183403153R00</t>
  </si>
  <si>
    <t>149</t>
  </si>
  <si>
    <t>183400022RAA</t>
  </si>
  <si>
    <t>58</t>
  </si>
  <si>
    <t>915711111RT2</t>
  </si>
  <si>
    <t>Krycí list slepého rozpočtu (SO 302 - Přeložka jednotné kanalizace)</t>
  </si>
  <si>
    <t>284</t>
  </si>
  <si>
    <t>36</t>
  </si>
  <si>
    <t>M46</t>
  </si>
  <si>
    <t>Zhutnění podloží z hornin nesoudržných do 92% PS</t>
  </si>
  <si>
    <t>113108410R00</t>
  </si>
  <si>
    <t>427</t>
  </si>
  <si>
    <t>Krycí list slepého rozpočtu (SO - Veřejné osvětlení - úprava)</t>
  </si>
  <si>
    <t>693650460</t>
  </si>
  <si>
    <t>892571111R00</t>
  </si>
  <si>
    <t>14</t>
  </si>
  <si>
    <t>VORN - Vedlejší a ostatní rozpočtové náklady</t>
  </si>
  <si>
    <t>31</t>
  </si>
  <si>
    <t>423</t>
  </si>
  <si>
    <t>84</t>
  </si>
  <si>
    <t>SO100b_9_</t>
  </si>
  <si>
    <t>305</t>
  </si>
  <si>
    <t>60850025</t>
  </si>
  <si>
    <t>001</t>
  </si>
  <si>
    <t>SO 100a_5_</t>
  </si>
  <si>
    <t>Zřízení vodorovného značení z nátěr.hmot tl.do 3mm</t>
  </si>
  <si>
    <t>Množství</t>
  </si>
  <si>
    <t>442</t>
  </si>
  <si>
    <t>38</t>
  </si>
  <si>
    <t>430</t>
  </si>
  <si>
    <t>Neuznatelné náklady</t>
  </si>
  <si>
    <t>2865447053</t>
  </si>
  <si>
    <t>Osaz. bet. dílců šachet, prefbrikátů, do 5,0 t</t>
  </si>
  <si>
    <t>369</t>
  </si>
  <si>
    <t>Demontáž rozvodů vody z plastů do D 63</t>
  </si>
  <si>
    <t>286144833</t>
  </si>
  <si>
    <t>Čerpání vody na výšku do 10 m, přítok do 500 l/min</t>
  </si>
  <si>
    <t>Řezání stávajícího živičného krytu tl. 5 - 10 cm</t>
  </si>
  <si>
    <t>174</t>
  </si>
  <si>
    <t>Montáž elektrovýzbroje stožáru pro 1 okruh</t>
  </si>
  <si>
    <t>286144832</t>
  </si>
  <si>
    <t>184202111R00</t>
  </si>
  <si>
    <t>286553441</t>
  </si>
  <si>
    <t>Úprava pláně v zářezech v hor. 1-4, se zhutněním</t>
  </si>
  <si>
    <t>21_</t>
  </si>
  <si>
    <t>Vnitřní vodovod</t>
  </si>
  <si>
    <t>Typ skupiny</t>
  </si>
  <si>
    <t>73</t>
  </si>
  <si>
    <t>Poklop KA 01 BEGU D 605 mm "A1" PARK A15</t>
  </si>
  <si>
    <t>Stupadla šacht. vidlicová oceloplast, vysek. beton</t>
  </si>
  <si>
    <t>Přesun hmot pro sadovnické a krajin. úpravy do 5km</t>
  </si>
  <si>
    <t>410</t>
  </si>
  <si>
    <t>Spojka kanalizační PP SN 8-10 D 630</t>
  </si>
  <si>
    <t>256</t>
  </si>
  <si>
    <t>Zemní práce při montážích</t>
  </si>
  <si>
    <t>Zabezpečení konců kanal. potrubí DN do 600, vodou</t>
  </si>
  <si>
    <t>SO 800_ _</t>
  </si>
  <si>
    <t>Spojka hrdlo, redukovaná  č. 7974, DN 100/80, PN 16</t>
  </si>
  <si>
    <t>363</t>
  </si>
  <si>
    <t>577162124R00</t>
  </si>
  <si>
    <t>Dočasné zajištění kabelů - do počtu 3 kabelů</t>
  </si>
  <si>
    <t>Revize VO</t>
  </si>
  <si>
    <t>HAWLE poklop k podz. hydrantu 1950 - voda</t>
  </si>
  <si>
    <t>188</t>
  </si>
  <si>
    <t>Lapač střešních splavenin litinový DN 125</t>
  </si>
  <si>
    <t>56</t>
  </si>
  <si>
    <t>Montáž trubek polyetylenových ve výkopu d 110 mm</t>
  </si>
  <si>
    <t>2865447054</t>
  </si>
  <si>
    <t>722_</t>
  </si>
  <si>
    <t>040001VRN</t>
  </si>
  <si>
    <t>892271111R00</t>
  </si>
  <si>
    <t>19</t>
  </si>
  <si>
    <t>Zalití rostlin vodou plochy nad 20 m2</t>
  </si>
  <si>
    <t>C</t>
  </si>
  <si>
    <t>286538121</t>
  </si>
  <si>
    <t>SO 302_9_</t>
  </si>
  <si>
    <t>Náklady (Kč)</t>
  </si>
  <si>
    <t>936451111R00</t>
  </si>
  <si>
    <t>721</t>
  </si>
  <si>
    <t>110</t>
  </si>
  <si>
    <t>Krycí list slepého rozpočtu (SO 304 - Přeložka vodovodního řadu)</t>
  </si>
  <si>
    <t>892663111R00</t>
  </si>
  <si>
    <t>Spojka kanalizační PP SN 8-10 D 315</t>
  </si>
  <si>
    <t>39</t>
  </si>
  <si>
    <t>30</t>
  </si>
  <si>
    <t>Skruž šachetní TBS-Q.1 100/25/12 PS</t>
  </si>
  <si>
    <t>241</t>
  </si>
  <si>
    <t>Ostatní konstrukce a práce na trubním vedení</t>
  </si>
  <si>
    <t>IČO/DIČ:</t>
  </si>
  <si>
    <t>Ostatní</t>
  </si>
  <si>
    <t>364</t>
  </si>
  <si>
    <t>433</t>
  </si>
  <si>
    <t>Odstranění asfaltobetonové vozovky pl. nad 50 m2</t>
  </si>
  <si>
    <t>86</t>
  </si>
  <si>
    <t>289971211R00</t>
  </si>
  <si>
    <t>278</t>
  </si>
  <si>
    <t>222</t>
  </si>
  <si>
    <t>141741119R00</t>
  </si>
  <si>
    <t>979081121R00</t>
  </si>
  <si>
    <t>877395121R00</t>
  </si>
  <si>
    <t>55</t>
  </si>
  <si>
    <t>402</t>
  </si>
  <si>
    <t>210201533R00</t>
  </si>
  <si>
    <t>370</t>
  </si>
  <si>
    <t>030001VRN</t>
  </si>
  <si>
    <t>871251121R00</t>
  </si>
  <si>
    <t>Montáž trub kanaliz. z plastu, hrdlových, DN 400</t>
  </si>
  <si>
    <t>Zpracoval:</t>
  </si>
  <si>
    <t>372</t>
  </si>
  <si>
    <t>69366198</t>
  </si>
  <si>
    <t>Kryty štěrkových a živičných pozemních komunikací a zpevněných ploch</t>
  </si>
  <si>
    <t>76</t>
  </si>
  <si>
    <t>Montáž trub kanaliz. z plastu, hrdlových, DN 300</t>
  </si>
  <si>
    <t>290</t>
  </si>
  <si>
    <t>Chodník z dlažby betonové, podklad štěrkodrť</t>
  </si>
  <si>
    <t>346</t>
  </si>
  <si>
    <t>Soubor</t>
  </si>
  <si>
    <t>Odstranění asfaltové vrstvy pl.nad 50 m2, tl.11 cm</t>
  </si>
  <si>
    <t>315</t>
  </si>
  <si>
    <t>597103112RT1</t>
  </si>
  <si>
    <t>Projektové práce - skutečné provedení</t>
  </si>
  <si>
    <t>043002VRN</t>
  </si>
  <si>
    <t>914001121RT6</t>
  </si>
  <si>
    <t>kompletní dodávka včetně závlahového systému</t>
  </si>
  <si>
    <t>151101111R00</t>
  </si>
  <si>
    <t>207</t>
  </si>
  <si>
    <t>Přesun hmot, trubní vedení plastová, otevř. výkop</t>
  </si>
  <si>
    <t>Zhotovitel</t>
  </si>
  <si>
    <t>380</t>
  </si>
  <si>
    <t>Provizorní vodovod s přípojkami</t>
  </si>
  <si>
    <t>199000002R00</t>
  </si>
  <si>
    <t>Kůl vyvazovací 250 x 8 cm</t>
  </si>
  <si>
    <t>RTS I / 2023</t>
  </si>
  <si>
    <t>210810017RT3</t>
  </si>
  <si>
    <t>190</t>
  </si>
  <si>
    <t>SO 301_</t>
  </si>
  <si>
    <t>Montáž distanční objímky segmentových d 301-320 mm</t>
  </si>
  <si>
    <t>2</t>
  </si>
  <si>
    <t>Projektant:</t>
  </si>
  <si>
    <t>ORN celkem</t>
  </si>
  <si>
    <t>966631111R00</t>
  </si>
  <si>
    <t>286144826</t>
  </si>
  <si>
    <t/>
  </si>
  <si>
    <t>2. zálivka - do předání st.</t>
  </si>
  <si>
    <t>Osazení mříží litinových s rámem do 100kg</t>
  </si>
  <si>
    <t>SO 302_8_</t>
  </si>
  <si>
    <t>309</t>
  </si>
  <si>
    <t>Vedlejší a ostatní rozpočtové náklady (SO 100a - uznatelné náklady)</t>
  </si>
  <si>
    <t>152</t>
  </si>
  <si>
    <t>17</t>
  </si>
  <si>
    <t>013002VRN</t>
  </si>
  <si>
    <t>cca 50% nových pro šoupátka</t>
  </si>
  <si>
    <t>Odstranění zám.dlažby 6 cm vč.podkladu, přes 50 m2</t>
  </si>
  <si>
    <t>Montáž trubních dílů PE, PP, D 63</t>
  </si>
  <si>
    <t>406</t>
  </si>
  <si>
    <t>966006215R00</t>
  </si>
  <si>
    <t>98</t>
  </si>
  <si>
    <t>112</t>
  </si>
  <si>
    <t>15_</t>
  </si>
  <si>
    <t>Demontáž potrubí litinového hrdlového DN 100</t>
  </si>
  <si>
    <t>021002VRN</t>
  </si>
  <si>
    <t>21</t>
  </si>
  <si>
    <t>451572111R00</t>
  </si>
  <si>
    <t>Obdělání půdy hrabáním, v rovině</t>
  </si>
  <si>
    <t>59224366.A</t>
  </si>
  <si>
    <t>113107620R00</t>
  </si>
  <si>
    <t>445</t>
  </si>
  <si>
    <t>891241111R00</t>
  </si>
  <si>
    <t>Měření intenzity osvětlení</t>
  </si>
  <si>
    <t>892233111R00</t>
  </si>
  <si>
    <t>351</t>
  </si>
  <si>
    <t>362</t>
  </si>
  <si>
    <t>113202111R00</t>
  </si>
  <si>
    <t>979081111R00</t>
  </si>
  <si>
    <t>55243342.A</t>
  </si>
  <si>
    <t>Koleno přírubové Duktus FFK DN 100-30° EWS</t>
  </si>
  <si>
    <t>286144829</t>
  </si>
  <si>
    <t>Práce přesčas</t>
  </si>
  <si>
    <t>565161212R00</t>
  </si>
  <si>
    <t>Malta cementová zdicí a správková pro kanalizace ERGELIT-SBM</t>
  </si>
  <si>
    <t>Montáž trubek polyetylenových ve výkopu d 32 mm</t>
  </si>
  <si>
    <t>899401113R00</t>
  </si>
  <si>
    <t>210201528R00</t>
  </si>
  <si>
    <t>Těsnění spár krytu vozovky zálivkou za studena</t>
  </si>
  <si>
    <t>61</t>
  </si>
  <si>
    <t>SO 302_</t>
  </si>
  <si>
    <t>345</t>
  </si>
  <si>
    <t>313</t>
  </si>
  <si>
    <t>59224347.A</t>
  </si>
  <si>
    <t>47*0,5</t>
  </si>
  <si>
    <t>HAWLE souprava zemní 9500E2 DN50 -100, 1,3-1,8m</t>
  </si>
  <si>
    <t>119001421R00</t>
  </si>
  <si>
    <t>368</t>
  </si>
  <si>
    <t>126</t>
  </si>
  <si>
    <t>124</t>
  </si>
  <si>
    <t>174101101R00</t>
  </si>
  <si>
    <t>H00</t>
  </si>
  <si>
    <t>Montáže potrubí</t>
  </si>
  <si>
    <t>Vedlejší a ostatní rozpočtové náklady (SO 800 - sadové úpravy)</t>
  </si>
  <si>
    <t>07VRN</t>
  </si>
  <si>
    <t>Beton asfaltový ACO 8 CH, š. do 3 m, tl. 4 cm</t>
  </si>
  <si>
    <t>158</t>
  </si>
  <si>
    <t>12</t>
  </si>
  <si>
    <t>650106221R00</t>
  </si>
  <si>
    <t>01VRN</t>
  </si>
  <si>
    <t>Položka obsahuje strojní přemístění materiálu pro zásyp ze vzdálenosti do 10 m od okraje zásypu.</t>
  </si>
  <si>
    <t>234</t>
  </si>
  <si>
    <t>185851111R00</t>
  </si>
  <si>
    <t>Kulturní památka</t>
  </si>
  <si>
    <t>Odvoz suti a vybour. hmot na skládku do 1 km</t>
  </si>
  <si>
    <t>Objekt</t>
  </si>
  <si>
    <t>28655334</t>
  </si>
  <si>
    <t>168</t>
  </si>
  <si>
    <t>Bourání konstrukcí</t>
  </si>
  <si>
    <t>306</t>
  </si>
  <si>
    <t>Koš kalový vysoký UA4V</t>
  </si>
  <si>
    <t>DPH 21%</t>
  </si>
  <si>
    <t>298</t>
  </si>
  <si>
    <t>Chodník z dlažby zámkové, podklad štěrkodrť</t>
  </si>
  <si>
    <t>184</t>
  </si>
  <si>
    <t>249</t>
  </si>
  <si>
    <t>181101102R00</t>
  </si>
  <si>
    <t>134</t>
  </si>
  <si>
    <t>460420022RT2</t>
  </si>
  <si>
    <t>Odbočka přírub. T  DN 100x100 PN 10-40</t>
  </si>
  <si>
    <t>211</t>
  </si>
  <si>
    <t>Osazení lež.obrub.kamen. bez opěr, lože z C 12/15</t>
  </si>
  <si>
    <t>917131111RT2</t>
  </si>
  <si>
    <t>196</t>
  </si>
  <si>
    <t>SO 304_9_</t>
  </si>
  <si>
    <t>592238711</t>
  </si>
  <si>
    <t>Elektroinstalační trubky  Je vhodný především pro mechanickou ochranu všech druhů energetických a telekomunikačních vedení.  Ochranné trubky mohou být též použity jako záložní ochranné trubky pro pozdější využití.  Pomocí distančních rozpěrek lze realizovat uložení ve více vrstvách.  Pro svou vysokou odolnost proti agresivním látkám má trubkový systém svoje opodstatnění i v chemickém průmyslu.  KOPOFLEX Vnější plášť trubky je vyroben z HDPE, vnitřní z LDPE. Tato kombinace umožňuje vysokou ohebnost.  Pro svoji vysokou ohebnost,při zachování pevnosti stěny je vhodný pro ochranu přípojek vody nebo plynu.  Technické specifikace Konstrukce dvojité stěny - uvnitř hladká trubka a zevně trubka korugovaná Trubkový systém splňuje pevnost v tlaku &gt;450 N a umožňuje práci v teplotním rozmezí -45 °C až +60 °C při zachování tvaru trubky. Stupeň krytí: IP 67 - při použití</t>
  </si>
  <si>
    <t>Trubka kanalizační PP SN 10 400x6000mm</t>
  </si>
  <si>
    <t>318</t>
  </si>
  <si>
    <t>SO 301_72_</t>
  </si>
  <si>
    <t>Přesun hmot, kabelovody, příplatek do 2 km</t>
  </si>
  <si>
    <t>Elektromontáže</t>
  </si>
  <si>
    <t>Převedení vody potrubím o průměru do DN 150 mm</t>
  </si>
  <si>
    <t>Geodetické práce</t>
  </si>
  <si>
    <t>979084313R00</t>
  </si>
  <si>
    <t>Odstranění betonových trub do DN 500 mm, ve výkopu</t>
  </si>
  <si>
    <t>Vrtání jádrové do ŽB do D 300 mm</t>
  </si>
  <si>
    <t>919735112R00</t>
  </si>
  <si>
    <t>131201112R00</t>
  </si>
  <si>
    <t>371</t>
  </si>
  <si>
    <t>Deska přechodová zákrytová TZK-Q.1 120-100/25</t>
  </si>
  <si>
    <t>367</t>
  </si>
  <si>
    <t>187</t>
  </si>
  <si>
    <t>Celkem VORN</t>
  </si>
  <si>
    <t>ORN celkem z obj.</t>
  </si>
  <si>
    <t>Poplatek za skládku suti - beton nad 30x30 cm</t>
  </si>
  <si>
    <t>317</t>
  </si>
  <si>
    <t>Osazení betonových dílců šachet</t>
  </si>
  <si>
    <t>Dešťová kanalizace</t>
  </si>
  <si>
    <t>191</t>
  </si>
  <si>
    <t>Podkladní a vedlejší konstrukce (kromě vozovek a železničního svršku)</t>
  </si>
  <si>
    <t>404</t>
  </si>
  <si>
    <t>TBV-Q 45/57 SH skruž dešťové vpusti DN 450</t>
  </si>
  <si>
    <t>49</t>
  </si>
  <si>
    <t>72</t>
  </si>
  <si>
    <t>899102111R00</t>
  </si>
  <si>
    <t>899401112R00</t>
  </si>
  <si>
    <t>275</t>
  </si>
  <si>
    <t>19_</t>
  </si>
  <si>
    <t>Lať surová SM jakost I-II tl. 30 - 40 mm, š. 50 - 60 mm, 0,50 - 0,75 m</t>
  </si>
  <si>
    <t>Přesuny</t>
  </si>
  <si>
    <t>MAT</t>
  </si>
  <si>
    <t>SO 303_</t>
  </si>
  <si>
    <t>42200760</t>
  </si>
  <si>
    <t>58344169</t>
  </si>
  <si>
    <t>267</t>
  </si>
  <si>
    <t>70</t>
  </si>
  <si>
    <t>277</t>
  </si>
  <si>
    <t>8</t>
  </si>
  <si>
    <t>Celkem:</t>
  </si>
  <si>
    <t>Mimostav. doprava</t>
  </si>
  <si>
    <t>Rozprostření ornice v rovině tloušťka 20 cm</t>
  </si>
  <si>
    <t>266</t>
  </si>
  <si>
    <t>Těsnění elastom pro šach díly EMT - DN 1000</t>
  </si>
  <si>
    <t>18</t>
  </si>
  <si>
    <t>DN celkem z obj.</t>
  </si>
  <si>
    <t>452311131R00</t>
  </si>
  <si>
    <t>46</t>
  </si>
  <si>
    <t>892661111R00</t>
  </si>
  <si>
    <t>181</t>
  </si>
  <si>
    <t>434</t>
  </si>
  <si>
    <t>TBV-Q 45/30 SS skruž dešťové vpusti DN 450</t>
  </si>
  <si>
    <t>214</t>
  </si>
  <si>
    <t>Směs travní hřištní I. - střední zátěž PROFI</t>
  </si>
  <si>
    <t>SO 302_5_</t>
  </si>
  <si>
    <t>TerraCottem fyzikální půdní kondicionér po 20 kg</t>
  </si>
  <si>
    <t>385</t>
  </si>
  <si>
    <t>857264121R00</t>
  </si>
  <si>
    <t>176</t>
  </si>
  <si>
    <t>577131311R00</t>
  </si>
  <si>
    <t>100</t>
  </si>
  <si>
    <t>108</t>
  </si>
  <si>
    <t>50</t>
  </si>
  <si>
    <t>Odstranění trubkového nástavce včetně značky</t>
  </si>
  <si>
    <t>397</t>
  </si>
  <si>
    <t>340</t>
  </si>
  <si>
    <t>167101103R00</t>
  </si>
  <si>
    <t>Svítidlo LED světlomet venkovní</t>
  </si>
  <si>
    <t>Utěsnění chráničky manžetou DN 400/500</t>
  </si>
  <si>
    <t>314</t>
  </si>
  <si>
    <t>m</t>
  </si>
  <si>
    <t>373</t>
  </si>
  <si>
    <t>998289011R00</t>
  </si>
  <si>
    <t>Slepý stavební rozpočet - rekapitulace</t>
  </si>
  <si>
    <t>Inženýrské činnosti</t>
  </si>
  <si>
    <t>592243501</t>
  </si>
  <si>
    <t>217</t>
  </si>
  <si>
    <t>Montáž tvarovek litin. jednoos. přír. výkop DN 100</t>
  </si>
  <si>
    <t>SO100b_5_</t>
  </si>
  <si>
    <t>225</t>
  </si>
  <si>
    <t>04VRN_</t>
  </si>
  <si>
    <t>Přemístění výkopku</t>
  </si>
  <si>
    <t>573111115R00</t>
  </si>
  <si>
    <t>11</t>
  </si>
  <si>
    <t>398</t>
  </si>
  <si>
    <t>42291515</t>
  </si>
  <si>
    <t>Veřejné osvětlení - úprava</t>
  </si>
  <si>
    <t>Vodorovné přemístění výkopku z hor.1-4 do 10000 m</t>
  </si>
  <si>
    <t>240</t>
  </si>
  <si>
    <t>32</t>
  </si>
  <si>
    <t>119001401R00</t>
  </si>
  <si>
    <t>Spojka kanalizační PP SN 8-10 D 800</t>
  </si>
  <si>
    <t>Příprava půdy pro výsadbu, ve svahu, strojní</t>
  </si>
  <si>
    <t>Odstranění dřevin výš.nad 1m, svah 1:2, bez pařezu</t>
  </si>
  <si>
    <t>460050513R00</t>
  </si>
  <si>
    <t>Objednatel:</t>
  </si>
  <si>
    <t>204</t>
  </si>
  <si>
    <t>Nasunutí potrubní sekce do chráničky DN 500</t>
  </si>
  <si>
    <t>390</t>
  </si>
  <si>
    <t>2865447006</t>
  </si>
  <si>
    <t>Osazení betonových dílců šachet do 2,0 t</t>
  </si>
  <si>
    <t>894421111R00</t>
  </si>
  <si>
    <t>Montáž sadového osvětlovacího stožáru - ocelový</t>
  </si>
  <si>
    <t>592238718</t>
  </si>
  <si>
    <t>458 dní</t>
  </si>
  <si>
    <t>PSV mat</t>
  </si>
  <si>
    <t>300</t>
  </si>
  <si>
    <t>280</t>
  </si>
  <si>
    <t>Zřízení vrstvy z geotextilie sklon do 1:5 š.do 3 m</t>
  </si>
  <si>
    <t>Odstranění doprav. značky ze sloupů nebo konzolí</t>
  </si>
  <si>
    <t>4x pro DN 400</t>
  </si>
  <si>
    <t>Dočasné zajištění ocelového potrubí DN 200-500 mm</t>
  </si>
  <si>
    <t>230194011R00</t>
  </si>
  <si>
    <t>Potřebné množství</t>
  </si>
  <si>
    <t>273</t>
  </si>
  <si>
    <t>Příprava staveniště</t>
  </si>
  <si>
    <t>3</t>
  </si>
  <si>
    <t>Prstenec vyrovnávací šachetní TBW-Q.1 63/4</t>
  </si>
  <si>
    <t>Obalení vsakovacích bloků geotextílií</t>
  </si>
  <si>
    <t>Roubení</t>
  </si>
  <si>
    <t>Zakotvení/odkotvení vodičů,stožárů 1duchého ved.</t>
  </si>
  <si>
    <t>592238720</t>
  </si>
  <si>
    <t>85_</t>
  </si>
  <si>
    <t>308</t>
  </si>
  <si>
    <t>998276101R00</t>
  </si>
  <si>
    <t>114211212R00</t>
  </si>
  <si>
    <t>383</t>
  </si>
  <si>
    <t>102</t>
  </si>
  <si>
    <t>184802115R00</t>
  </si>
  <si>
    <t>Konus šachetní TBR-Q.1 100-63/58/12 KPS</t>
  </si>
  <si>
    <t>Poplatek za recyklaci suť do 5 % příměsí (skup.170107)</t>
  </si>
  <si>
    <t>Výška stožáru i typ svítidla + výložník totožný s již použitými svítidli ul Sokolovská a Hus. náměstí.
Na Husově náměstí jsou u přechodů pro chodce osazeny svítidla LED výška 6,0M.
U poliliniky dojde pouze k přemístění svítidel.
U ostatních přechodů dojde k doplnění VO viz. PD. 
Svítidlo pro přechody pro chodce - typu zebra výška 6M. . Dle TKP 15  - u přechodů pro chodce telota chromatičnosti 1,5 násobek oproti ostatním svítidlům.</t>
  </si>
  <si>
    <t>Zhotovitel:</t>
  </si>
  <si>
    <t>175101101RT2</t>
  </si>
  <si>
    <t>Naložení a odvoz zeminy</t>
  </si>
  <si>
    <t>%</t>
  </si>
  <si>
    <t>M46_</t>
  </si>
  <si>
    <t>Krycí list slepého rozpočtu (SO100b - Neuznatelné náklady)</t>
  </si>
  <si>
    <t>96_</t>
  </si>
  <si>
    <t>877423122R00</t>
  </si>
  <si>
    <t>Montáž odvodňovacího žlabu - polymerbeton D 400</t>
  </si>
  <si>
    <t>210061221R00</t>
  </si>
  <si>
    <t>Beton asfalt. ACO 11+ obrusný, š.nad 3 m, tl. 4 cm</t>
  </si>
  <si>
    <t>Trubka kanalizační PP SN 10 315x6000mm</t>
  </si>
  <si>
    <t>296</t>
  </si>
  <si>
    <t>650511211R00</t>
  </si>
  <si>
    <t>35</t>
  </si>
  <si>
    <t>Vedlejší a ostatní rozpočtové náklady (SO - Veřejné osvětlení - úprava)</t>
  </si>
  <si>
    <t>M65</t>
  </si>
  <si>
    <t>Začátek výstavby:</t>
  </si>
  <si>
    <t>SO100b</t>
  </si>
  <si>
    <t>388</t>
  </si>
  <si>
    <t>381</t>
  </si>
  <si>
    <t>Spojka hrdlová jištěná, s přírubou (č. 7994), DN100,PN 16</t>
  </si>
  <si>
    <t>395</t>
  </si>
  <si>
    <t>132101213R00</t>
  </si>
  <si>
    <t>573111121R00</t>
  </si>
  <si>
    <t>Přeložka vodovodního řadu</t>
  </si>
  <si>
    <t>SO 303</t>
  </si>
  <si>
    <t>286144820</t>
  </si>
  <si>
    <t>A</t>
  </si>
  <si>
    <t>287</t>
  </si>
  <si>
    <t>208</t>
  </si>
  <si>
    <t>Přeložka jednotné kanalizace</t>
  </si>
  <si>
    <t>185804312R00</t>
  </si>
  <si>
    <t>SO304.1_9_</t>
  </si>
  <si>
    <t>Mont mat</t>
  </si>
  <si>
    <t>167101102R00</t>
  </si>
  <si>
    <t>163</t>
  </si>
  <si>
    <t>113108411R00</t>
  </si>
  <si>
    <t>13_</t>
  </si>
  <si>
    <t>Uložení zemin do násypů předeps. tvarů s urovnáním</t>
  </si>
  <si>
    <t>Mulčování rostlin tl. do 0,1 m rovina</t>
  </si>
  <si>
    <t>722</t>
  </si>
  <si>
    <t>Přesunutí či úprava polohy stávajících VO</t>
  </si>
  <si>
    <t>121101100R00</t>
  </si>
  <si>
    <t>Převedení vody potrubím o průměru do DN 300 mm</t>
  </si>
  <si>
    <t>59224361.A</t>
  </si>
  <si>
    <t>274</t>
  </si>
  <si>
    <t>Slepý stavební rozpočet</t>
  </si>
  <si>
    <t>407</t>
  </si>
  <si>
    <t>93</t>
  </si>
  <si>
    <t>285</t>
  </si>
  <si>
    <t>279</t>
  </si>
  <si>
    <t>SO 100a_1_</t>
  </si>
  <si>
    <t>uznatelné náklady</t>
  </si>
  <si>
    <t>871161121R00</t>
  </si>
  <si>
    <t>173</t>
  </si>
  <si>
    <t>SO 100a_</t>
  </si>
  <si>
    <t>157</t>
  </si>
  <si>
    <t>311</t>
  </si>
  <si>
    <t>55340397</t>
  </si>
  <si>
    <t>101</t>
  </si>
  <si>
    <t>10391505.A</t>
  </si>
  <si>
    <t>Podkladní vrstvy komunikací a zpevněných ploch</t>
  </si>
  <si>
    <t>75</t>
  </si>
  <si>
    <t>Nasunutí potrubní sekce do chráničky DN 200</t>
  </si>
  <si>
    <t>366</t>
  </si>
  <si>
    <t>54</t>
  </si>
  <si>
    <t>Zkouška těsnosti kanalizace DN do 600, vodou</t>
  </si>
  <si>
    <t>205</t>
  </si>
  <si>
    <t xml:space="preserve"> </t>
  </si>
  <si>
    <t>M23_</t>
  </si>
  <si>
    <t>Stavební úprava ul. Sokolovská</t>
  </si>
  <si>
    <t>16_</t>
  </si>
  <si>
    <t>Postřik infiltrační, množství zbytkového asfaltového pojiva 0,60 kg/m2</t>
  </si>
  <si>
    <t>136</t>
  </si>
  <si>
    <t>153</t>
  </si>
  <si>
    <t>892241111R00</t>
  </si>
  <si>
    <t>441</t>
  </si>
  <si>
    <t>SO 302_4_</t>
  </si>
  <si>
    <t>55243098</t>
  </si>
  <si>
    <t>387</t>
  </si>
  <si>
    <t>Vytrhání obrub obrubníků silničních</t>
  </si>
  <si>
    <t>577162214R00</t>
  </si>
  <si>
    <t>Prstenec vyrovnávací šachetní TBW-Q.1 63/6</t>
  </si>
  <si>
    <t>334</t>
  </si>
  <si>
    <t>123</t>
  </si>
  <si>
    <t>3457114726</t>
  </si>
  <si>
    <t>Převedení vody potrubím o průměru do DN 600 mm</t>
  </si>
  <si>
    <t>159</t>
  </si>
  <si>
    <t>Dočasné zajištění ocelového potrubí do DN 200 mm</t>
  </si>
  <si>
    <t>Kryty pozemních komunikací, letišť a ploch dlážděných (předlažby)</t>
  </si>
  <si>
    <t>891247111R00</t>
  </si>
  <si>
    <t>Zapojení LED svítidla ve skříni</t>
  </si>
  <si>
    <t>T-kus PE s vnitřním závitem d 63 x 2"</t>
  </si>
  <si>
    <t>kg</t>
  </si>
  <si>
    <t>SO304.1_8_</t>
  </si>
  <si>
    <t>403</t>
  </si>
  <si>
    <t>59224348.A</t>
  </si>
  <si>
    <t>Objednatel</t>
  </si>
  <si>
    <t>286134607</t>
  </si>
  <si>
    <t>57</t>
  </si>
  <si>
    <t>257</t>
  </si>
  <si>
    <t>(Kč)</t>
  </si>
  <si>
    <t>Podklad ze štěrkodrti po zhutnění tloušťky 15 cm</t>
  </si>
  <si>
    <t>SO 301_5_</t>
  </si>
  <si>
    <t>Montáž trub z plastu, gumový kroužek, DN 150</t>
  </si>
  <si>
    <t>072002VRN</t>
  </si>
  <si>
    <t>871423121R00</t>
  </si>
  <si>
    <t>22</t>
  </si>
  <si>
    <t>mat. příčky a úvazky</t>
  </si>
  <si>
    <t>115</t>
  </si>
  <si>
    <t>894421111RT1</t>
  </si>
  <si>
    <t>Územní vlivy</t>
  </si>
  <si>
    <t>998231311R00</t>
  </si>
  <si>
    <t>Poplatek za skládku horniny 1- 4</t>
  </si>
  <si>
    <t>55259952</t>
  </si>
  <si>
    <t>SO100b_ _</t>
  </si>
  <si>
    <t>m3</t>
  </si>
  <si>
    <t>650125223R00</t>
  </si>
  <si>
    <t>Odstranění pažení stěn rýh - příložné - hl. do 2 m</t>
  </si>
  <si>
    <t>115101301R00</t>
  </si>
  <si>
    <t>265</t>
  </si>
  <si>
    <t>T</t>
  </si>
  <si>
    <t>259</t>
  </si>
  <si>
    <t>411</t>
  </si>
  <si>
    <t>Montáž trub kanaliz. z plastu, hrdlových, DN 150</t>
  </si>
  <si>
    <t>Zkouška těsnosti kanalizace DN do 400, vodou</t>
  </si>
  <si>
    <t>573231144R00</t>
  </si>
  <si>
    <t>141741122R00</t>
  </si>
  <si>
    <t>Datum:</t>
  </si>
  <si>
    <t>91_</t>
  </si>
  <si>
    <t>07VRN_</t>
  </si>
  <si>
    <t>HAWLE poklop uliční šoupátkový 1750  - voda</t>
  </si>
  <si>
    <t>215</t>
  </si>
  <si>
    <t>2865350015</t>
  </si>
  <si>
    <t>27</t>
  </si>
  <si>
    <t>Sejmutí ornice s přemístěním do 50 m</t>
  </si>
  <si>
    <t>SO 303_9_</t>
  </si>
  <si>
    <t>37</t>
  </si>
  <si>
    <t>80</t>
  </si>
  <si>
    <t>m2</t>
  </si>
  <si>
    <t>41</t>
  </si>
  <si>
    <t>337</t>
  </si>
  <si>
    <t>59_</t>
  </si>
  <si>
    <t>Bau-projekt spol s.r.o. Jan Hyliš</t>
  </si>
  <si>
    <t>877313123R00</t>
  </si>
  <si>
    <t>186</t>
  </si>
  <si>
    <t>Přesun hmot a sutí</t>
  </si>
  <si>
    <t>NUS z rozpočtu</t>
  </si>
  <si>
    <t>55258534</t>
  </si>
  <si>
    <t>Desinfekce vodovodního potrubí DN 80-125</t>
  </si>
  <si>
    <t>251</t>
  </si>
  <si>
    <t>Postřik infiltrační s posypem, asfalt 2,5 kg/m2</t>
  </si>
  <si>
    <t>59224349.A</t>
  </si>
  <si>
    <t>422935323</t>
  </si>
  <si>
    <t>596100030RAE</t>
  </si>
  <si>
    <t>Výkaz výměr</t>
  </si>
  <si>
    <t>1</t>
  </si>
  <si>
    <t>206</t>
  </si>
  <si>
    <t>7</t>
  </si>
  <si>
    <t>Substrát zahradnický B  VL</t>
  </si>
  <si>
    <t>Osazení mříží litinových s rámem do 150kg</t>
  </si>
  <si>
    <t>236</t>
  </si>
  <si>
    <t>1 dno z celk. 16 uvedeno jako prefa spadiště</t>
  </si>
  <si>
    <t>Rozměry</t>
  </si>
  <si>
    <t>119001402R00</t>
  </si>
  <si>
    <t>321</t>
  </si>
  <si>
    <t>Montáž navrtávacích pasů DN 100</t>
  </si>
  <si>
    <t>SO 304</t>
  </si>
  <si>
    <t>Dno šachetní přímé TBZ-Q.1 100/60 V40, CV</t>
  </si>
  <si>
    <t>350</t>
  </si>
  <si>
    <t>74</t>
  </si>
  <si>
    <t>Položek:</t>
  </si>
  <si>
    <t>NUS celkem</t>
  </si>
  <si>
    <t>WORK</t>
  </si>
  <si>
    <t>Povrchové úpravy terénu</t>
  </si>
  <si>
    <t>164</t>
  </si>
  <si>
    <t>114211105R00</t>
  </si>
  <si>
    <t>230195038R00</t>
  </si>
  <si>
    <t>131</t>
  </si>
  <si>
    <t>Javor babyka - Acer campestre, vysokokmen</t>
  </si>
  <si>
    <t>83</t>
  </si>
  <si>
    <t>Kohout rozebíratelný s páčkou d 32 mm PP nebo PE, svěrná hrdla</t>
  </si>
  <si>
    <t>00572472</t>
  </si>
  <si>
    <t>Řezání stávajícího živičného krytu tl. 10 - 15 cm</t>
  </si>
  <si>
    <t>213</t>
  </si>
  <si>
    <t>93_</t>
  </si>
  <si>
    <t>114</t>
  </si>
  <si>
    <t>Příplatek za ztížené hloubení v blízkosti vedení</t>
  </si>
  <si>
    <t>47</t>
  </si>
  <si>
    <t>111212122R00</t>
  </si>
  <si>
    <t>Spojka kanalizační PP SN 8-10 D 160</t>
  </si>
  <si>
    <t>384</t>
  </si>
  <si>
    <t>Objímka distanční PEHD 41mm  301-320mm</t>
  </si>
  <si>
    <t>Přirážka za 1 spoj elektrotvarovky d 32 mm</t>
  </si>
  <si>
    <t>HSV mat</t>
  </si>
  <si>
    <t>Kč</t>
  </si>
  <si>
    <t>294</t>
  </si>
  <si>
    <t>400</t>
  </si>
  <si>
    <t>SO</t>
  </si>
  <si>
    <t>877373122R00</t>
  </si>
  <si>
    <t>M21_</t>
  </si>
  <si>
    <t>348</t>
  </si>
  <si>
    <t>2+6+47</t>
  </si>
  <si>
    <t>177</t>
  </si>
  <si>
    <t>010001VRN</t>
  </si>
  <si>
    <t>66</t>
  </si>
  <si>
    <t>970051300R00</t>
  </si>
  <si>
    <t>Montáž distanční objímky celistvých d 106-123 mm</t>
  </si>
  <si>
    <t>56_</t>
  </si>
  <si>
    <t>sadové úpravy</t>
  </si>
  <si>
    <t>Celkem VRN</t>
  </si>
  <si>
    <t>rozměr v 1M 12/14
kultivar - Elsrijk</t>
  </si>
  <si>
    <t>Trubka kanalizační PP SN 10 160x3000mm</t>
  </si>
  <si>
    <t>55149033</t>
  </si>
  <si>
    <t>365</t>
  </si>
  <si>
    <t>Kostka dlažební drobná 10/12 štípaná Itř. 1t=4,0m2</t>
  </si>
  <si>
    <t>113106231R00</t>
  </si>
  <si>
    <t>414</t>
  </si>
  <si>
    <t>288</t>
  </si>
  <si>
    <t>915712111RT1</t>
  </si>
  <si>
    <t>14_</t>
  </si>
  <si>
    <t>201</t>
  </si>
  <si>
    <t>SO 301_4_</t>
  </si>
  <si>
    <t>347</t>
  </si>
  <si>
    <t>155</t>
  </si>
  <si>
    <t>Montáž vpusti nebo čistícího kusu pro žlaby polymerbetonové či betonové D400</t>
  </si>
  <si>
    <t>247</t>
  </si>
  <si>
    <t>Montáž vsakovacího bloku nebo tunelu do V 450 l</t>
  </si>
  <si>
    <t>90</t>
  </si>
  <si>
    <t>59515511</t>
  </si>
  <si>
    <t>výložník a svítidlo přechodové - provedení zebra</t>
  </si>
  <si>
    <t>M23</t>
  </si>
  <si>
    <t>SO 305_4_</t>
  </si>
  <si>
    <t>210</t>
  </si>
  <si>
    <t>89</t>
  </si>
  <si>
    <t>Krycí list slepého rozpočtu (SO 303 - Přípojky jednotné kanalizace)</t>
  </si>
  <si>
    <t>245</t>
  </si>
  <si>
    <t>6x pro DN 800</t>
  </si>
  <si>
    <t>01.06.2023</t>
  </si>
  <si>
    <t>354</t>
  </si>
  <si>
    <t>Fólie výstražná z PVC bílá, šířka 30 cm</t>
  </si>
  <si>
    <t>447</t>
  </si>
  <si>
    <t>179</t>
  </si>
  <si>
    <t>892273111R00</t>
  </si>
  <si>
    <t>Celkem DN</t>
  </si>
  <si>
    <t>Uložení kabelu Cu 5 x 25 mm2 do trubky</t>
  </si>
  <si>
    <t>M65_</t>
  </si>
  <si>
    <t>Manžeta na chráničky EPDM 110 x 220 mm</t>
  </si>
  <si>
    <t>SO 304_72_</t>
  </si>
  <si>
    <t>185</t>
  </si>
  <si>
    <t>88</t>
  </si>
  <si>
    <t>286144828</t>
  </si>
  <si>
    <t>Směs travní luční III. - dlouhodobá PROFI</t>
  </si>
  <si>
    <t>úsek</t>
  </si>
  <si>
    <t>286538003</t>
  </si>
  <si>
    <t>41195420</t>
  </si>
  <si>
    <t>Rozprostření ornice, svah, tl. do 10 cm, do 500 m2</t>
  </si>
  <si>
    <t>Trativody z PVC drenážních flexibilních trubek</t>
  </si>
  <si>
    <t>148</t>
  </si>
  <si>
    <t>Deska podkladová pod hydrantové poklopy</t>
  </si>
  <si>
    <t>SO304.1_</t>
  </si>
  <si>
    <t>Montáž distanční objímky segmentových d 361-400 mm</t>
  </si>
  <si>
    <t>344</t>
  </si>
  <si>
    <t>Desky podkladní pod potrubí z betonu C 12/15</t>
  </si>
  <si>
    <t>326</t>
  </si>
  <si>
    <t>303</t>
  </si>
  <si>
    <t>Zkrácený popis</t>
  </si>
  <si>
    <t>592262131</t>
  </si>
  <si>
    <t>443</t>
  </si>
  <si>
    <t>28</t>
  </si>
  <si>
    <t>111</t>
  </si>
  <si>
    <t>SO_1_</t>
  </si>
  <si>
    <t>Vedlejší a ostatní rozpočtové náklady (SO 303 - Přípojky jednotné kanalizace)</t>
  </si>
  <si>
    <t>Fólie výstražná šířka 34 cm červená síťovina</t>
  </si>
  <si>
    <t>Trubka vodovodní PE RC Protect SDR 11 110x10,0 mm</t>
  </si>
  <si>
    <t>00572442</t>
  </si>
  <si>
    <t>Trubka kanalizační PP SN 10 315x3000mm</t>
  </si>
  <si>
    <t>312</t>
  </si>
  <si>
    <t>417</t>
  </si>
  <si>
    <t>239</t>
  </si>
  <si>
    <t>58572000</t>
  </si>
  <si>
    <t>979999998R00</t>
  </si>
  <si>
    <t>CELK</t>
  </si>
  <si>
    <t>113</t>
  </si>
  <si>
    <t>106</t>
  </si>
  <si>
    <t>376</t>
  </si>
  <si>
    <t>151101101R00</t>
  </si>
  <si>
    <t>425</t>
  </si>
  <si>
    <t>Vodič signalizační CYY 6 mm2</t>
  </si>
  <si>
    <t>650106313R00</t>
  </si>
  <si>
    <t>65</t>
  </si>
  <si>
    <t>339</t>
  </si>
  <si>
    <t>Prorážení otvorů a ostatní bourací práce</t>
  </si>
  <si>
    <t>244</t>
  </si>
  <si>
    <t>Krycí list slepého rozpočtu (SO 305 - Vodovodní přípojky)</t>
  </si>
  <si>
    <t>301</t>
  </si>
  <si>
    <t>169</t>
  </si>
  <si>
    <t>597101035RA100</t>
  </si>
  <si>
    <t>34</t>
  </si>
  <si>
    <t>62</t>
  </si>
  <si>
    <t>193</t>
  </si>
  <si>
    <t>Doplňkové náklady DN</t>
  </si>
  <si>
    <t>174100050RAB</t>
  </si>
  <si>
    <t>432</t>
  </si>
  <si>
    <t>SO100b_1_</t>
  </si>
  <si>
    <t>857262121R00</t>
  </si>
  <si>
    <t>335</t>
  </si>
  <si>
    <t>Trubka kanalizační PP SN 10 800x6000mm</t>
  </si>
  <si>
    <t>428</t>
  </si>
  <si>
    <t>415</t>
  </si>
  <si>
    <t>871393121R00</t>
  </si>
  <si>
    <t>218</t>
  </si>
  <si>
    <t>Úprava pláně v násypech v hor. 1-4, se zhutněním</t>
  </si>
  <si>
    <t>Vedlejší a ostatní rozpočtové náklady (SO 302 - Přeložka jednotné kanalizace)</t>
  </si>
  <si>
    <t>341</t>
  </si>
  <si>
    <t>141741114R00</t>
  </si>
  <si>
    <t>SO 100a</t>
  </si>
  <si>
    <t>SO 800_1_</t>
  </si>
  <si>
    <t>Vodorovné přemíst.výkopku z rýh pod.stěn do 2000 m</t>
  </si>
  <si>
    <t>Zkouška těsnosti kanalizace DN do 200, vodou</t>
  </si>
  <si>
    <t>113107630R00</t>
  </si>
  <si>
    <t>28655428</t>
  </si>
  <si>
    <t>Spadiště kanal. z betonu jednod.,dno čedič, DN 300</t>
  </si>
  <si>
    <t>917832111RT8</t>
  </si>
  <si>
    <t>Náklady (Kč) - Montáž</t>
  </si>
  <si>
    <t>Trubka bezešvá hladká 11353.1  D 219x8,0 mm</t>
  </si>
  <si>
    <t>42228312</t>
  </si>
  <si>
    <t>Montáž trub kanaliz. z plastu, hrdlových, DN 600</t>
  </si>
  <si>
    <t>293</t>
  </si>
  <si>
    <t>Vnitřní kanalizace</t>
  </si>
  <si>
    <t>uznatelné náklady - ČÁST OBJEKTU so 100 - KOMUNIKACE</t>
  </si>
  <si>
    <t>Neuznatelné náklady - ČÁST OBJEKTU so 100 - KOMUNIKACE</t>
  </si>
  <si>
    <t>uznatelné náklady  SO 100a</t>
  </si>
  <si>
    <t>Dešťová kanalizace SO 301</t>
  </si>
  <si>
    <t>Přeložka jednotné kanalizace SO 302</t>
  </si>
  <si>
    <t>Přípojky jednotné kanalizace SO 303</t>
  </si>
  <si>
    <t>Přeložka vodovodního řadu  SO 304</t>
  </si>
  <si>
    <t>Vodovodní přípojky SO  305</t>
  </si>
  <si>
    <t>sadové úpravy SO 800</t>
  </si>
  <si>
    <t>Neuznatelné náklady SO 100b - ČÁST OBJEKTU SO 100</t>
  </si>
  <si>
    <t>Provizorní vodovod s přípojkami  SO 304,1</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</si>
</sst>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 &quot;Kč&quot;_);\-#,##0.00\ &quot;Kč&quot;"/>
    <numFmt numFmtId="165" formatCode="#,##0\ &quot;Kč&quot;_);\-#,##0\ &quot;Kč&quot;"/>
    <numFmt numFmtId="166" formatCode="#,##0\ &quot;Kč&quot;_);[Red]\-#,##0\ &quot;Kč&quot;"/>
    <numFmt numFmtId="167" formatCode="#,##0.00\ &quot;Kč&quot;_);[Red]\-#,##0.00\ &quot;Kč&quot;"/>
    <numFmt numFmtId="168" formatCode="_(* #,##0\ _);_(\-* #,##0\ ;_(* &quot;-&quot;\ _);_(@_)"/>
    <numFmt numFmtId="169" formatCode="_(* #,##0\ &quot;Kč&quot;_);_(\-* #,##0\ &quot;Kč&quot;;_(* &quot;-&quot;\ &quot;Kč&quot;_);_(@_)"/>
    <numFmt numFmtId="170" formatCode="_(* #,##0.00\ &quot;Kč&quot;_);_(\-* #,##0.00\ &quot;Kč&quot;;_(* &quot;-&quot;??\ &quot;Kč&quot;_);_(@_)"/>
    <numFmt numFmtId="171" formatCode="_(* #,##0.00\ _);_(\-* #,##0.00\ ;_(* &quot;-&quot;??\ _);_(@_)"/>
  </numFmts>
  <fonts count="58">
    <font>
      <sz val="8"/>
      <name val="Arial"/>
      <family val="0"/>
    </font>
    <font>
      <sz val="11"/>
      <name val="Calibri"/>
      <family val="0"/>
    </font>
    <font>
      <b/>
      <sz val="10"/>
      <color indexed="8"/>
      <name val="Arial"/>
      <family val="0"/>
    </font>
    <font>
      <sz val="10"/>
      <color indexed="8"/>
      <name val="Arial"/>
      <family val="0"/>
    </font>
    <font>
      <i/>
      <sz val="10"/>
      <color indexed="8"/>
      <name val="Arial"/>
      <family val="0"/>
    </font>
    <font>
      <i/>
      <sz val="8"/>
      <color indexed="8"/>
      <name val="Arial"/>
      <family val="0"/>
    </font>
    <font>
      <sz val="12"/>
      <color indexed="8"/>
      <name val="Arial"/>
      <family val="0"/>
    </font>
    <font>
      <b/>
      <sz val="12"/>
      <color indexed="8"/>
      <name val="Arial"/>
      <family val="0"/>
    </font>
    <font>
      <i/>
      <sz val="9"/>
      <color indexed="8"/>
      <name val="Arial"/>
      <family val="0"/>
    </font>
    <font>
      <b/>
      <sz val="20"/>
      <color indexed="8"/>
      <name val="Arial"/>
      <family val="0"/>
    </font>
    <font>
      <b/>
      <sz val="11"/>
      <color indexed="8"/>
      <name val="Arial"/>
      <family val="0"/>
    </font>
    <font>
      <sz val="18"/>
      <color indexed="8"/>
      <name val="Arial"/>
      <family val="0"/>
    </font>
    <font>
      <b/>
      <sz val="18"/>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10"/>
      <color rgb="FF000000"/>
      <name val="Arial"/>
      <family val="0"/>
    </font>
    <font>
      <sz val="10"/>
      <color rgb="FF000000"/>
      <name val="Arial"/>
      <family val="0"/>
    </font>
    <font>
      <i/>
      <sz val="8"/>
      <color rgb="FF000000"/>
      <name val="Arial"/>
      <family val="0"/>
    </font>
    <font>
      <i/>
      <sz val="9"/>
      <color rgb="FF000000"/>
      <name val="Arial"/>
      <family val="0"/>
    </font>
    <font>
      <b/>
      <sz val="20"/>
      <color rgb="FF000000"/>
      <name val="Arial"/>
      <family val="0"/>
    </font>
    <font>
      <i/>
      <sz val="10"/>
      <color rgb="FF000000"/>
      <name val="Arial"/>
      <family val="0"/>
    </font>
    <font>
      <b/>
      <sz val="12"/>
      <color rgb="FF000000"/>
      <name val="Arial"/>
      <family val="0"/>
    </font>
    <font>
      <sz val="12"/>
      <color rgb="FF000000"/>
      <name val="Arial"/>
      <family val="0"/>
    </font>
    <font>
      <sz val="18"/>
      <color rgb="FF000000"/>
      <name val="Arial"/>
      <family val="0"/>
    </font>
    <font>
      <b/>
      <sz val="18"/>
      <color rgb="FF000000"/>
      <name val="Arial"/>
      <family val="0"/>
    </font>
    <font>
      <b/>
      <sz val="11"/>
      <color rgb="FF00000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C0C0"/>
        <bgColor indexed="64"/>
      </patternFill>
    </fill>
  </fills>
  <borders count="4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rgb="FF000000"/>
      </left>
      <right style="thin">
        <color rgb="FF000000"/>
      </right>
      <top style="medium">
        <color rgb="FF000000"/>
      </top>
      <bottom style="medium">
        <color rgb="FF000000"/>
      </bottom>
    </border>
    <border>
      <left/>
      <right style="thin">
        <color rgb="FF000000"/>
      </right>
      <top/>
      <bottom/>
    </border>
    <border>
      <left style="medium">
        <color rgb="FF000000"/>
      </left>
      <right style="thin">
        <color rgb="FF000000"/>
      </right>
      <top style="medium">
        <color rgb="FF000000"/>
      </top>
      <bottom style="medium">
        <color rgb="FF000000"/>
      </bottom>
    </border>
    <border>
      <left>
        <color rgb="FF000000"/>
      </left>
      <right style="medium">
        <color rgb="FF000000"/>
      </right>
      <top style="medium">
        <color rgb="FF000000"/>
      </top>
      <bottom style="thin">
        <color rgb="FF000000"/>
      </bottom>
    </border>
    <border>
      <left>
        <color rgb="FF000000"/>
      </left>
      <right style="medium">
        <color rgb="FF000000"/>
      </right>
      <top style="medium">
        <color rgb="FF000000"/>
      </top>
      <bottom style="medium">
        <color rgb="FF000000"/>
      </bottom>
    </border>
    <border>
      <left style="medium">
        <color rgb="FF000000"/>
      </left>
      <right>
        <color rgb="FF000000"/>
      </right>
      <top style="medium">
        <color rgb="FF000000"/>
      </top>
      <bottom style="medium">
        <color rgb="FF000000"/>
      </bottom>
    </border>
    <border>
      <left>
        <color rgb="FF000000"/>
      </left>
      <right style="thin">
        <color rgb="FF000000"/>
      </right>
      <top style="thin">
        <color rgb="FF000000"/>
      </top>
      <bottom style="thin">
        <color rgb="FF000000"/>
      </bottom>
    </border>
    <border>
      <left style="thin">
        <color rgb="FF000000"/>
      </left>
      <right/>
      <top/>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medium">
        <color rgb="FF000000"/>
      </bottom>
    </border>
    <border>
      <left>
        <color rgb="FF000000"/>
      </left>
      <right style="thin">
        <color rgb="FF000000"/>
      </right>
      <top>
        <color rgb="FF000000"/>
      </top>
      <bottom style="thin">
        <color rgb="FF000000"/>
      </bottom>
    </border>
    <border>
      <left style="thin">
        <color rgb="FF000000"/>
      </left>
      <right style="thin">
        <color rgb="FF000000"/>
      </right>
      <top>
        <color rgb="FF000000"/>
      </top>
      <bottom/>
    </border>
    <border>
      <left>
        <color rgb="FF000000"/>
      </left>
      <right style="thin">
        <color rgb="FF000000"/>
      </right>
      <top style="medium">
        <color rgb="FF000000"/>
      </top>
      <bottom/>
    </border>
    <border>
      <left/>
      <right/>
      <top>
        <color rgb="FF000000"/>
      </top>
      <bottom style="thin">
        <color rgb="FF000000"/>
      </bottom>
    </border>
    <border>
      <left>
        <color rgb="FF000000"/>
      </left>
      <right style="medium">
        <color rgb="FF000000"/>
      </right>
      <top>
        <color rgb="FF000000"/>
      </top>
      <bottom style="medium">
        <color rgb="FF000000"/>
      </bottom>
    </border>
    <border>
      <left style="thin">
        <color rgb="FF000000"/>
      </left>
      <right style="thin">
        <color rgb="FF000000"/>
      </right>
      <top style="thin">
        <color rgb="FF000000"/>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style="thin">
        <color rgb="FF000000"/>
      </left>
      <right/>
      <top>
        <color rgb="FF000000"/>
      </top>
      <bottom style="thin">
        <color rgb="FF000000"/>
      </bottom>
    </border>
    <border>
      <left style="thin">
        <color rgb="FF000000"/>
      </left>
      <right style="thin">
        <color rgb="FF000000"/>
      </right>
      <top style="medium">
        <color rgb="FF000000"/>
      </top>
      <bottom/>
    </border>
    <border>
      <left>
        <color rgb="FF000000"/>
      </left>
      <right/>
      <top style="medium">
        <color rgb="FF000000"/>
      </top>
      <bottom/>
    </border>
    <border>
      <left style="medium">
        <color rgb="FF000000"/>
      </left>
      <right style="thin">
        <color rgb="FF000000"/>
      </right>
      <top>
        <color rgb="FF000000"/>
      </top>
      <bottom style="medium">
        <color rgb="FF000000"/>
      </bottom>
    </border>
    <border>
      <left/>
      <right/>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style="medium">
        <color rgb="FF000000"/>
      </top>
      <bottom style="thin">
        <color rgb="FF000000"/>
      </bottom>
    </border>
    <border>
      <left/>
      <right/>
      <top style="medium">
        <color rgb="FF000000"/>
      </top>
      <bottom style="thin">
        <color rgb="FF000000"/>
      </bottom>
    </border>
    <border>
      <left style="medium">
        <color rgb="FF000000"/>
      </left>
      <right/>
      <top style="medium">
        <color rgb="FF000000"/>
      </top>
      <bottom/>
    </border>
    <border>
      <left style="medium">
        <color rgb="FF000000"/>
      </left>
      <right/>
      <top/>
      <bottom style="medium">
        <color rgb="FF000000"/>
      </bottom>
    </border>
    <border>
      <left>
        <color rgb="FF000000"/>
      </left>
      <right/>
      <top style="thin">
        <color rgb="FF000000"/>
      </top>
      <bottom style="thin">
        <color rgb="FF000000"/>
      </bottom>
    </border>
    <border>
      <left style="thin">
        <color rgb="FF000000"/>
      </left>
      <right/>
      <top style="thin">
        <color rgb="FF000000"/>
      </top>
      <bottom style="thin">
        <color rgb="FF000000"/>
      </bottom>
    </border>
    <border>
      <left/>
      <right style="medium">
        <color rgb="FF000000"/>
      </right>
      <top style="medium">
        <color rgb="FF000000"/>
      </top>
      <bottom/>
    </border>
    <border>
      <left style="medium">
        <color rgb="FF000000"/>
      </left>
      <right/>
      <top/>
      <bottom/>
    </border>
    <border>
      <left/>
      <right style="medium">
        <color rgb="FF000000"/>
      </right>
      <top/>
      <bottom/>
    </border>
  </borders>
  <cellStyleXfs count="61">
    <xf numFmtId="0" fontId="0"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148">
    <xf numFmtId="0" fontId="1" fillId="0" borderId="0" xfId="0" applyNumberFormat="1" applyFont="1" applyFill="1" applyBorder="1" applyAlignment="1" applyProtection="1">
      <alignment/>
      <protection/>
    </xf>
    <xf numFmtId="0" fontId="47" fillId="0" borderId="10"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protection/>
    </xf>
    <xf numFmtId="0" fontId="48" fillId="33" borderId="0" xfId="0" applyNumberFormat="1" applyFont="1" applyFill="1" applyBorder="1" applyAlignment="1" applyProtection="1">
      <alignment horizontal="left" vertical="center"/>
      <protection/>
    </xf>
    <xf numFmtId="0" fontId="47" fillId="33" borderId="11" xfId="0" applyNumberFormat="1" applyFont="1" applyFill="1" applyBorder="1" applyAlignment="1" applyProtection="1">
      <alignment horizontal="right" vertical="center"/>
      <protection/>
    </xf>
    <xf numFmtId="0" fontId="49" fillId="0" borderId="0" xfId="0" applyNumberFormat="1" applyFont="1" applyFill="1" applyBorder="1" applyAlignment="1" applyProtection="1">
      <alignment horizontal="left" vertical="center"/>
      <protection/>
    </xf>
    <xf numFmtId="0" fontId="47" fillId="0" borderId="12" xfId="0" applyNumberFormat="1" applyFont="1" applyFill="1" applyBorder="1" applyAlignment="1" applyProtection="1">
      <alignment horizontal="left" vertical="center"/>
      <protection/>
    </xf>
    <xf numFmtId="0" fontId="47" fillId="0" borderId="13" xfId="0" applyNumberFormat="1" applyFont="1" applyFill="1" applyBorder="1" applyAlignment="1" applyProtection="1">
      <alignment horizontal="right" vertical="center"/>
      <protection/>
    </xf>
    <xf numFmtId="0" fontId="47" fillId="0" borderId="14" xfId="0" applyNumberFormat="1" applyFont="1" applyFill="1" applyBorder="1" applyAlignment="1" applyProtection="1">
      <alignment horizontal="left" vertical="center"/>
      <protection/>
    </xf>
    <xf numFmtId="0" fontId="47" fillId="0" borderId="14" xfId="0" applyNumberFormat="1" applyFont="1" applyFill="1" applyBorder="1" applyAlignment="1" applyProtection="1">
      <alignment horizontal="right" vertical="center"/>
      <protection/>
    </xf>
    <xf numFmtId="0" fontId="47" fillId="33" borderId="0" xfId="0" applyNumberFormat="1" applyFont="1" applyFill="1" applyBorder="1" applyAlignment="1" applyProtection="1">
      <alignment horizontal="left" vertical="center"/>
      <protection/>
    </xf>
    <xf numFmtId="0" fontId="47" fillId="33" borderId="0" xfId="0" applyNumberFormat="1" applyFont="1" applyFill="1" applyBorder="1" applyAlignment="1" applyProtection="1">
      <alignment horizontal="right" vertical="center"/>
      <protection/>
    </xf>
    <xf numFmtId="0" fontId="48" fillId="0" borderId="11" xfId="0" applyNumberFormat="1" applyFont="1" applyFill="1" applyBorder="1" applyAlignment="1" applyProtection="1">
      <alignment horizontal="left" vertical="center"/>
      <protection/>
    </xf>
    <xf numFmtId="4" fontId="48" fillId="0" borderId="11" xfId="0" applyNumberFormat="1" applyFont="1" applyFill="1" applyBorder="1" applyAlignment="1" applyProtection="1">
      <alignment horizontal="right" vertical="center"/>
      <protection/>
    </xf>
    <xf numFmtId="4" fontId="50" fillId="0" borderId="0" xfId="0" applyNumberFormat="1" applyFont="1" applyFill="1" applyBorder="1" applyAlignment="1" applyProtection="1">
      <alignment horizontal="right" vertical="center"/>
      <protection/>
    </xf>
    <xf numFmtId="0" fontId="47" fillId="0" borderId="15" xfId="0" applyNumberFormat="1" applyFont="1" applyFill="1" applyBorder="1" applyAlignment="1" applyProtection="1">
      <alignment horizontal="left" vertical="center"/>
      <protection/>
    </xf>
    <xf numFmtId="0" fontId="51" fillId="33" borderId="16" xfId="0" applyNumberFormat="1" applyFont="1" applyFill="1" applyBorder="1" applyAlignment="1" applyProtection="1">
      <alignment horizontal="center" vertical="center"/>
      <protection/>
    </xf>
    <xf numFmtId="0" fontId="48" fillId="0" borderId="0" xfId="0" applyNumberFormat="1" applyFont="1" applyFill="1" applyBorder="1" applyAlignment="1" applyProtection="1">
      <alignment horizontal="right" vertical="center"/>
      <protection/>
    </xf>
    <xf numFmtId="0" fontId="52" fillId="0" borderId="0" xfId="0" applyNumberFormat="1" applyFont="1" applyFill="1" applyBorder="1" applyAlignment="1" applyProtection="1">
      <alignment horizontal="right" vertical="center"/>
      <protection/>
    </xf>
    <xf numFmtId="0" fontId="48" fillId="0" borderId="17" xfId="0" applyNumberFormat="1" applyFont="1" applyFill="1" applyBorder="1" applyAlignment="1" applyProtection="1">
      <alignment horizontal="left" vertical="center"/>
      <protection/>
    </xf>
    <xf numFmtId="0" fontId="47" fillId="0" borderId="18" xfId="0" applyNumberFormat="1" applyFont="1" applyFill="1" applyBorder="1" applyAlignment="1" applyProtection="1">
      <alignment horizontal="left" vertical="center"/>
      <protection/>
    </xf>
    <xf numFmtId="0" fontId="53" fillId="0" borderId="19" xfId="0" applyNumberFormat="1" applyFont="1" applyFill="1" applyBorder="1" applyAlignment="1" applyProtection="1">
      <alignment horizontal="left" vertical="center"/>
      <protection/>
    </xf>
    <xf numFmtId="4" fontId="47" fillId="33" borderId="0" xfId="0" applyNumberFormat="1" applyFont="1" applyFill="1" applyBorder="1" applyAlignment="1" applyProtection="1">
      <alignment horizontal="right" vertical="center"/>
      <protection/>
    </xf>
    <xf numFmtId="4" fontId="54" fillId="0" borderId="16" xfId="0" applyNumberFormat="1" applyFont="1" applyFill="1" applyBorder="1" applyAlignment="1" applyProtection="1">
      <alignment horizontal="right" vertical="center"/>
      <protection/>
    </xf>
    <xf numFmtId="0" fontId="48" fillId="33" borderId="17" xfId="0" applyNumberFormat="1" applyFont="1" applyFill="1" applyBorder="1" applyAlignment="1" applyProtection="1">
      <alignment horizontal="left" vertical="center"/>
      <protection/>
    </xf>
    <xf numFmtId="0" fontId="48" fillId="0" borderId="20" xfId="0" applyNumberFormat="1" applyFont="1" applyFill="1" applyBorder="1" applyAlignment="1" applyProtection="1">
      <alignment horizontal="left" vertical="center"/>
      <protection/>
    </xf>
    <xf numFmtId="0" fontId="47" fillId="0" borderId="21" xfId="0" applyNumberFormat="1" applyFont="1" applyFill="1" applyBorder="1" applyAlignment="1" applyProtection="1">
      <alignment horizontal="center" vertical="center"/>
      <protection/>
    </xf>
    <xf numFmtId="4" fontId="54" fillId="0" borderId="22" xfId="0" applyNumberFormat="1" applyFont="1" applyFill="1" applyBorder="1" applyAlignment="1" applyProtection="1">
      <alignment horizontal="right" vertical="center"/>
      <protection/>
    </xf>
    <xf numFmtId="0" fontId="48" fillId="0" borderId="22" xfId="0" applyNumberFormat="1" applyFont="1" applyFill="1" applyBorder="1" applyAlignment="1" applyProtection="1">
      <alignment horizontal="right" vertical="center"/>
      <protection/>
    </xf>
    <xf numFmtId="0" fontId="54" fillId="0" borderId="22" xfId="0" applyNumberFormat="1" applyFont="1" applyFill="1" applyBorder="1" applyAlignment="1" applyProtection="1">
      <alignment horizontal="left" vertical="center"/>
      <protection/>
    </xf>
    <xf numFmtId="4" fontId="48" fillId="0" borderId="22" xfId="0" applyNumberFormat="1" applyFont="1" applyFill="1" applyBorder="1" applyAlignment="1" applyProtection="1">
      <alignment horizontal="right" vertical="center"/>
      <protection/>
    </xf>
    <xf numFmtId="4" fontId="47" fillId="0" borderId="14" xfId="0" applyNumberFormat="1" applyFont="1" applyFill="1" applyBorder="1" applyAlignment="1" applyProtection="1">
      <alignment horizontal="right" vertical="center"/>
      <protection/>
    </xf>
    <xf numFmtId="0" fontId="53" fillId="0" borderId="23" xfId="0" applyNumberFormat="1" applyFont="1" applyFill="1" applyBorder="1" applyAlignment="1" applyProtection="1">
      <alignment horizontal="left" vertical="center"/>
      <protection/>
    </xf>
    <xf numFmtId="0" fontId="47" fillId="33" borderId="0" xfId="0" applyNumberFormat="1" applyFont="1" applyFill="1" applyBorder="1" applyAlignment="1" applyProtection="1">
      <alignment horizontal="right" vertical="center"/>
      <protection/>
    </xf>
    <xf numFmtId="0" fontId="47" fillId="0" borderId="24" xfId="0" applyNumberFormat="1" applyFont="1" applyFill="1" applyBorder="1" applyAlignment="1" applyProtection="1">
      <alignment horizontal="left" vertical="center"/>
      <protection/>
    </xf>
    <xf numFmtId="0" fontId="47" fillId="0" borderId="24" xfId="0" applyNumberFormat="1" applyFont="1" applyFill="1" applyBorder="1" applyAlignment="1" applyProtection="1">
      <alignment horizontal="center" vertical="center"/>
      <protection/>
    </xf>
    <xf numFmtId="0" fontId="48" fillId="0" borderId="22" xfId="0" applyNumberFormat="1" applyFont="1" applyFill="1" applyBorder="1" applyAlignment="1" applyProtection="1">
      <alignment horizontal="left" vertical="center"/>
      <protection/>
    </xf>
    <xf numFmtId="0" fontId="48" fillId="0" borderId="25" xfId="0" applyNumberFormat="1" applyFont="1" applyFill="1" applyBorder="1" applyAlignment="1" applyProtection="1">
      <alignment horizontal="left" vertical="center"/>
      <protection/>
    </xf>
    <xf numFmtId="0" fontId="54" fillId="0" borderId="16" xfId="0" applyNumberFormat="1" applyFont="1" applyFill="1" applyBorder="1" applyAlignment="1" applyProtection="1">
      <alignment horizontal="right" vertical="center"/>
      <protection/>
    </xf>
    <xf numFmtId="0" fontId="47" fillId="0" borderId="26" xfId="0" applyNumberFormat="1" applyFont="1" applyFill="1" applyBorder="1" applyAlignment="1" applyProtection="1">
      <alignment horizontal="center" vertical="center"/>
      <protection/>
    </xf>
    <xf numFmtId="4" fontId="48" fillId="0" borderId="0" xfId="0" applyNumberFormat="1" applyFont="1" applyFill="1" applyBorder="1" applyAlignment="1" applyProtection="1">
      <alignment horizontal="right" vertical="center"/>
      <protection/>
    </xf>
    <xf numFmtId="0" fontId="47" fillId="0" borderId="0" xfId="0" applyNumberFormat="1" applyFont="1" applyFill="1" applyBorder="1" applyAlignment="1" applyProtection="1">
      <alignment horizontal="right" vertical="center"/>
      <protection/>
    </xf>
    <xf numFmtId="4" fontId="53" fillId="33" borderId="16" xfId="0" applyNumberFormat="1" applyFont="1" applyFill="1" applyBorder="1" applyAlignment="1" applyProtection="1">
      <alignment horizontal="right" vertical="center"/>
      <protection/>
    </xf>
    <xf numFmtId="0" fontId="47" fillId="33" borderId="11" xfId="0" applyNumberFormat="1" applyFont="1" applyFill="1" applyBorder="1" applyAlignment="1" applyProtection="1">
      <alignment horizontal="right" vertical="center"/>
      <protection/>
    </xf>
    <xf numFmtId="0" fontId="51" fillId="33" borderId="27" xfId="0" applyNumberFormat="1" applyFont="1" applyFill="1" applyBorder="1" applyAlignment="1" applyProtection="1">
      <alignment horizontal="center" vertical="center"/>
      <protection/>
    </xf>
    <xf numFmtId="4" fontId="47" fillId="0" borderId="0" xfId="0" applyNumberFormat="1" applyFont="1" applyFill="1" applyBorder="1" applyAlignment="1" applyProtection="1">
      <alignment horizontal="right" vertical="center"/>
      <protection/>
    </xf>
    <xf numFmtId="0" fontId="50" fillId="0" borderId="0" xfId="0" applyNumberFormat="1" applyFont="1" applyFill="1" applyBorder="1" applyAlignment="1" applyProtection="1">
      <alignment horizontal="left" vertical="center"/>
      <protection/>
    </xf>
    <xf numFmtId="0" fontId="47" fillId="0" borderId="28" xfId="0" applyNumberFormat="1" applyFont="1" applyFill="1" applyBorder="1" applyAlignment="1" applyProtection="1">
      <alignment horizontal="center" vertical="center"/>
      <protection/>
    </xf>
    <xf numFmtId="0" fontId="47" fillId="33" borderId="17"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horizontal="left" vertical="center"/>
      <protection/>
    </xf>
    <xf numFmtId="0" fontId="48" fillId="33" borderId="17" xfId="0" applyNumberFormat="1" applyFont="1" applyFill="1" applyBorder="1" applyAlignment="1" applyProtection="1">
      <alignment horizontal="left" vertical="center"/>
      <protection/>
    </xf>
    <xf numFmtId="4" fontId="48" fillId="0" borderId="25" xfId="0" applyNumberFormat="1" applyFont="1" applyFill="1" applyBorder="1" applyAlignment="1" applyProtection="1">
      <alignment horizontal="right" vertical="center"/>
      <protection/>
    </xf>
    <xf numFmtId="0" fontId="47" fillId="0" borderId="29" xfId="0" applyNumberFormat="1" applyFont="1" applyFill="1" applyBorder="1" applyAlignment="1" applyProtection="1">
      <alignment horizontal="right" vertical="center"/>
      <protection/>
    </xf>
    <xf numFmtId="0" fontId="54" fillId="0" borderId="22" xfId="0" applyNumberFormat="1" applyFont="1" applyFill="1" applyBorder="1" applyAlignment="1" applyProtection="1">
      <alignment horizontal="right" vertical="center"/>
      <protection/>
    </xf>
    <xf numFmtId="0" fontId="50" fillId="0" borderId="0" xfId="0" applyNumberFormat="1" applyFont="1" applyFill="1" applyBorder="1" applyAlignment="1" applyProtection="1">
      <alignment horizontal="right" vertical="center"/>
      <protection/>
    </xf>
    <xf numFmtId="0" fontId="48" fillId="0" borderId="28" xfId="0" applyNumberFormat="1" applyFont="1" applyFill="1" applyBorder="1" applyAlignment="1" applyProtection="1">
      <alignment horizontal="left" vertical="center"/>
      <protection/>
    </xf>
    <xf numFmtId="0" fontId="48" fillId="0" borderId="30" xfId="0" applyNumberFormat="1" applyFont="1" applyFill="1" applyBorder="1" applyAlignment="1" applyProtection="1">
      <alignment horizontal="left" vertical="center"/>
      <protection/>
    </xf>
    <xf numFmtId="4" fontId="53" fillId="33" borderId="22" xfId="0" applyNumberFormat="1" applyFont="1" applyFill="1" applyBorder="1" applyAlignment="1" applyProtection="1">
      <alignment horizontal="right" vertical="center"/>
      <protection/>
    </xf>
    <xf numFmtId="0" fontId="54" fillId="0" borderId="11" xfId="0" applyNumberFormat="1" applyFont="1" applyFill="1" applyBorder="1" applyAlignment="1" applyProtection="1">
      <alignment horizontal="right" vertical="center"/>
      <protection/>
    </xf>
    <xf numFmtId="0" fontId="48" fillId="0" borderId="0" xfId="0" applyNumberFormat="1" applyFont="1" applyFill="1" applyBorder="1" applyAlignment="1" applyProtection="1">
      <alignment horizontal="left" vertical="center"/>
      <protection/>
    </xf>
    <xf numFmtId="0" fontId="47" fillId="0" borderId="31" xfId="0" applyNumberFormat="1" applyFont="1" applyFill="1" applyBorder="1" applyAlignment="1" applyProtection="1">
      <alignment horizontal="left" vertical="center"/>
      <protection/>
    </xf>
    <xf numFmtId="0" fontId="47" fillId="33" borderId="17"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protection/>
    </xf>
    <xf numFmtId="4" fontId="47" fillId="33" borderId="0" xfId="0" applyNumberFormat="1" applyFont="1" applyFill="1" applyBorder="1" applyAlignment="1" applyProtection="1">
      <alignment horizontal="right" vertical="center"/>
      <protection/>
    </xf>
    <xf numFmtId="0" fontId="48" fillId="33" borderId="0" xfId="0" applyNumberFormat="1" applyFont="1" applyFill="1" applyBorder="1" applyAlignment="1" applyProtection="1">
      <alignment horizontal="left" vertical="center"/>
      <protection/>
    </xf>
    <xf numFmtId="0" fontId="47" fillId="0" borderId="32" xfId="0" applyNumberFormat="1" applyFont="1" applyFill="1" applyBorder="1" applyAlignment="1" applyProtection="1">
      <alignment horizontal="center" vertical="center"/>
      <protection/>
    </xf>
    <xf numFmtId="0" fontId="47" fillId="33" borderId="0" xfId="0" applyNumberFormat="1" applyFont="1" applyFill="1" applyBorder="1" applyAlignment="1" applyProtection="1">
      <alignment horizontal="left" vertical="center"/>
      <protection/>
    </xf>
    <xf numFmtId="0" fontId="1" fillId="0" borderId="17" xfId="0" applyNumberFormat="1" applyFont="1" applyFill="1" applyBorder="1" applyAlignment="1" applyProtection="1">
      <alignment/>
      <protection/>
    </xf>
    <xf numFmtId="4" fontId="54" fillId="0" borderId="11" xfId="0" applyNumberFormat="1" applyFont="1" applyFill="1" applyBorder="1" applyAlignment="1" applyProtection="1">
      <alignment horizontal="right" vertical="center"/>
      <protection/>
    </xf>
    <xf numFmtId="0" fontId="48" fillId="0" borderId="11" xfId="0" applyNumberFormat="1" applyFont="1" applyFill="1" applyBorder="1" applyAlignment="1" applyProtection="1">
      <alignment horizontal="right" vertical="center"/>
      <protection/>
    </xf>
    <xf numFmtId="0" fontId="47" fillId="0" borderId="33" xfId="0" applyNumberFormat="1" applyFont="1" applyFill="1" applyBorder="1" applyAlignment="1" applyProtection="1">
      <alignment horizontal="center" vertical="center"/>
      <protection/>
    </xf>
    <xf numFmtId="0" fontId="47" fillId="0" borderId="34" xfId="0" applyNumberFormat="1" applyFont="1" applyFill="1" applyBorder="1" applyAlignment="1" applyProtection="1">
      <alignment horizontal="center" vertical="center"/>
      <protection/>
    </xf>
    <xf numFmtId="0" fontId="55" fillId="0" borderId="0" xfId="0" applyNumberFormat="1" applyFont="1" applyFill="1" applyBorder="1" applyAlignment="1" applyProtection="1">
      <alignment horizontal="center" vertical="center"/>
      <protection/>
    </xf>
    <xf numFmtId="0" fontId="48" fillId="0" borderId="35" xfId="0" applyNumberFormat="1" applyFont="1" applyFill="1" applyBorder="1" applyAlignment="1" applyProtection="1">
      <alignment horizontal="left" vertical="center" wrapText="1"/>
      <protection/>
    </xf>
    <xf numFmtId="0" fontId="48" fillId="0" borderId="36" xfId="0" applyNumberFormat="1" applyFont="1" applyFill="1" applyBorder="1" applyAlignment="1" applyProtection="1">
      <alignment horizontal="left" vertical="center"/>
      <protection/>
    </xf>
    <xf numFmtId="0" fontId="48" fillId="0" borderId="17" xfId="0" applyNumberFormat="1" applyFont="1" applyFill="1" applyBorder="1" applyAlignment="1" applyProtection="1">
      <alignment horizontal="left" vertical="center"/>
      <protection/>
    </xf>
    <xf numFmtId="0" fontId="48" fillId="0" borderId="0" xfId="0" applyNumberFormat="1" applyFont="1" applyFill="1" applyBorder="1" applyAlignment="1" applyProtection="1">
      <alignment horizontal="left" vertical="center"/>
      <protection/>
    </xf>
    <xf numFmtId="0" fontId="48" fillId="0" borderId="17" xfId="0" applyNumberFormat="1" applyFont="1" applyFill="1" applyBorder="1" applyAlignment="1" applyProtection="1">
      <alignment horizontal="left" vertical="center" wrapText="1"/>
      <protection/>
    </xf>
    <xf numFmtId="0" fontId="48" fillId="0" borderId="36" xfId="0" applyNumberFormat="1" applyFont="1" applyFill="1" applyBorder="1" applyAlignment="1" applyProtection="1">
      <alignment horizontal="left" vertical="center" wrapText="1"/>
      <protection/>
    </xf>
    <xf numFmtId="0" fontId="48" fillId="0" borderId="0" xfId="0" applyNumberFormat="1" applyFont="1" applyFill="1" applyBorder="1" applyAlignment="1" applyProtection="1">
      <alignment horizontal="left" vertical="center" wrapText="1"/>
      <protection/>
    </xf>
    <xf numFmtId="0" fontId="47" fillId="0" borderId="36" xfId="0" applyNumberFormat="1" applyFont="1" applyFill="1" applyBorder="1" applyAlignment="1" applyProtection="1">
      <alignment horizontal="left" vertical="center" wrapText="1"/>
      <protection/>
    </xf>
    <xf numFmtId="0" fontId="47" fillId="0" borderId="36"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horizontal="left" vertical="center"/>
      <protection/>
    </xf>
    <xf numFmtId="0" fontId="48" fillId="0" borderId="37" xfId="0" applyNumberFormat="1" applyFont="1" applyFill="1" applyBorder="1" applyAlignment="1" applyProtection="1">
      <alignment horizontal="left" vertical="center"/>
      <protection/>
    </xf>
    <xf numFmtId="0" fontId="48" fillId="0" borderId="11" xfId="0" applyNumberFormat="1" applyFont="1" applyFill="1" applyBorder="1" applyAlignment="1" applyProtection="1">
      <alignment horizontal="left" vertical="center"/>
      <protection/>
    </xf>
    <xf numFmtId="0" fontId="47" fillId="0" borderId="32" xfId="0" applyNumberFormat="1" applyFont="1" applyFill="1" applyBorder="1" applyAlignment="1" applyProtection="1">
      <alignment horizontal="left" vertical="center"/>
      <protection/>
    </xf>
    <xf numFmtId="0" fontId="47" fillId="0" borderId="24" xfId="0" applyNumberFormat="1" applyFont="1" applyFill="1" applyBorder="1" applyAlignment="1" applyProtection="1">
      <alignment horizontal="left" vertical="center"/>
      <protection/>
    </xf>
    <xf numFmtId="0" fontId="47" fillId="0" borderId="34" xfId="0" applyNumberFormat="1" applyFont="1" applyFill="1" applyBorder="1" applyAlignment="1" applyProtection="1">
      <alignment horizontal="left" vertical="center"/>
      <protection/>
    </xf>
    <xf numFmtId="0" fontId="47" fillId="0" borderId="28" xfId="0" applyNumberFormat="1" applyFont="1" applyFill="1" applyBorder="1" applyAlignment="1" applyProtection="1">
      <alignment horizontal="left" vertical="center"/>
      <protection/>
    </xf>
    <xf numFmtId="0" fontId="47" fillId="0" borderId="38" xfId="0" applyNumberFormat="1" applyFont="1" applyFill="1" applyBorder="1" applyAlignment="1" applyProtection="1">
      <alignment horizontal="center" vertical="center"/>
      <protection/>
    </xf>
    <xf numFmtId="0" fontId="47" fillId="0" borderId="39" xfId="0" applyNumberFormat="1" applyFont="1" applyFill="1" applyBorder="1" applyAlignment="1" applyProtection="1">
      <alignment horizontal="center" vertical="center"/>
      <protection/>
    </xf>
    <xf numFmtId="0" fontId="47" fillId="0" borderId="13" xfId="0" applyNumberFormat="1" applyFont="1" applyFill="1" applyBorder="1" applyAlignment="1" applyProtection="1">
      <alignment horizontal="center" vertical="center"/>
      <protection/>
    </xf>
    <xf numFmtId="0" fontId="47" fillId="33" borderId="0" xfId="0" applyNumberFormat="1" applyFont="1" applyFill="1" applyBorder="1" applyAlignment="1" applyProtection="1">
      <alignment horizontal="left" vertical="center"/>
      <protection/>
    </xf>
    <xf numFmtId="0" fontId="52" fillId="0" borderId="0" xfId="0" applyNumberFormat="1" applyFont="1" applyFill="1" applyBorder="1" applyAlignment="1" applyProtection="1">
      <alignment horizontal="left" vertical="center" wrapText="1"/>
      <protection/>
    </xf>
    <xf numFmtId="0" fontId="52" fillId="0" borderId="0" xfId="0" applyNumberFormat="1" applyFont="1" applyFill="1" applyBorder="1" applyAlignment="1" applyProtection="1">
      <alignment horizontal="left" vertical="center"/>
      <protection/>
    </xf>
    <xf numFmtId="0" fontId="52" fillId="0" borderId="11" xfId="0" applyNumberFormat="1" applyFont="1" applyFill="1" applyBorder="1" applyAlignment="1" applyProtection="1">
      <alignment horizontal="left" vertical="center"/>
      <protection/>
    </xf>
    <xf numFmtId="0" fontId="48" fillId="0" borderId="25" xfId="0" applyNumberFormat="1" applyFont="1" applyFill="1" applyBorder="1" applyAlignment="1" applyProtection="1">
      <alignment horizontal="left" vertical="center"/>
      <protection/>
    </xf>
    <xf numFmtId="0" fontId="48" fillId="0" borderId="40" xfId="0" applyNumberFormat="1" applyFont="1" applyFill="1" applyBorder="1" applyAlignment="1" applyProtection="1">
      <alignment horizontal="left" vertical="center"/>
      <protection/>
    </xf>
    <xf numFmtId="0" fontId="48" fillId="0" borderId="32" xfId="0" applyNumberFormat="1" applyFont="1" applyFill="1" applyBorder="1" applyAlignment="1" applyProtection="1">
      <alignment horizontal="left" vertical="center"/>
      <protection/>
    </xf>
    <xf numFmtId="0" fontId="47" fillId="0" borderId="41" xfId="0" applyNumberFormat="1" applyFont="1" applyFill="1" applyBorder="1" applyAlignment="1" applyProtection="1">
      <alignment horizontal="left" vertical="center"/>
      <protection/>
    </xf>
    <xf numFmtId="0" fontId="48" fillId="0" borderId="30" xfId="0" applyNumberFormat="1" applyFont="1" applyFill="1" applyBorder="1" applyAlignment="1" applyProtection="1">
      <alignment horizontal="left" vertical="center"/>
      <protection/>
    </xf>
    <xf numFmtId="0" fontId="48" fillId="0" borderId="37" xfId="0" applyNumberFormat="1" applyFont="1" applyFill="1" applyBorder="1" applyAlignment="1" applyProtection="1">
      <alignment horizontal="left" vertical="center" wrapText="1"/>
      <protection/>
    </xf>
    <xf numFmtId="0" fontId="48" fillId="0" borderId="11" xfId="0" applyNumberFormat="1" applyFont="1" applyFill="1" applyBorder="1" applyAlignment="1" applyProtection="1">
      <alignment horizontal="left" vertical="center" wrapText="1"/>
      <protection/>
    </xf>
    <xf numFmtId="0" fontId="47" fillId="0" borderId="29"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protection/>
    </xf>
    <xf numFmtId="0" fontId="50" fillId="0" borderId="0" xfId="0" applyNumberFormat="1" applyFont="1" applyFill="1" applyBorder="1" applyAlignment="1" applyProtection="1">
      <alignment horizontal="left" vertical="center"/>
      <protection/>
    </xf>
    <xf numFmtId="0" fontId="55" fillId="0" borderId="0" xfId="0" applyNumberFormat="1" applyFont="1" applyFill="1" applyBorder="1" applyAlignment="1" applyProtection="1">
      <alignment horizontal="center" vertical="center" wrapText="1"/>
      <protection/>
    </xf>
    <xf numFmtId="1" fontId="48" fillId="0" borderId="11" xfId="0" applyNumberFormat="1" applyFont="1" applyFill="1" applyBorder="1" applyAlignment="1" applyProtection="1">
      <alignment horizontal="left" vertical="center"/>
      <protection/>
    </xf>
    <xf numFmtId="0" fontId="48" fillId="0" borderId="22" xfId="0" applyNumberFormat="1" applyFont="1" applyFill="1" applyBorder="1" applyAlignment="1" applyProtection="1">
      <alignment horizontal="left" vertical="center"/>
      <protection/>
    </xf>
    <xf numFmtId="0" fontId="56" fillId="0" borderId="0" xfId="0" applyNumberFormat="1" applyFont="1" applyFill="1" applyBorder="1" applyAlignment="1" applyProtection="1">
      <alignment horizontal="center" vertical="center"/>
      <protection/>
    </xf>
    <xf numFmtId="0" fontId="57" fillId="0" borderId="42" xfId="0" applyNumberFormat="1" applyFont="1" applyFill="1" applyBorder="1" applyAlignment="1" applyProtection="1">
      <alignment horizontal="left" vertical="center"/>
      <protection/>
    </xf>
    <xf numFmtId="0" fontId="57" fillId="0" borderId="16" xfId="0" applyNumberFormat="1" applyFont="1" applyFill="1" applyBorder="1" applyAlignment="1" applyProtection="1">
      <alignment horizontal="left" vertical="center"/>
      <protection/>
    </xf>
    <xf numFmtId="0" fontId="53" fillId="0" borderId="30" xfId="0" applyNumberFormat="1" applyFont="1" applyFill="1" applyBorder="1" applyAlignment="1" applyProtection="1">
      <alignment horizontal="left" vertical="center"/>
      <protection/>
    </xf>
    <xf numFmtId="0" fontId="53" fillId="0" borderId="22" xfId="0" applyNumberFormat="1" applyFont="1" applyFill="1" applyBorder="1" applyAlignment="1" applyProtection="1">
      <alignment horizontal="left" vertical="center"/>
      <protection/>
    </xf>
    <xf numFmtId="0" fontId="53" fillId="0" borderId="17" xfId="0" applyNumberFormat="1" applyFont="1" applyFill="1" applyBorder="1" applyAlignment="1" applyProtection="1">
      <alignment horizontal="left" vertical="center"/>
      <protection/>
    </xf>
    <xf numFmtId="0" fontId="53" fillId="0" borderId="11" xfId="0" applyNumberFormat="1" applyFont="1" applyFill="1" applyBorder="1" applyAlignment="1" applyProtection="1">
      <alignment horizontal="left" vertical="center"/>
      <protection/>
    </xf>
    <xf numFmtId="0" fontId="53" fillId="0" borderId="43" xfId="0" applyNumberFormat="1" applyFont="1" applyFill="1" applyBorder="1" applyAlignment="1" applyProtection="1">
      <alignment horizontal="left" vertical="center"/>
      <protection/>
    </xf>
    <xf numFmtId="0" fontId="53" fillId="0" borderId="16" xfId="0" applyNumberFormat="1" applyFont="1" applyFill="1" applyBorder="1" applyAlignment="1" applyProtection="1">
      <alignment horizontal="left" vertical="center"/>
      <protection/>
    </xf>
    <xf numFmtId="0" fontId="54" fillId="0" borderId="25" xfId="0" applyNumberFormat="1" applyFont="1" applyFill="1" applyBorder="1" applyAlignment="1" applyProtection="1">
      <alignment horizontal="left" vertical="center"/>
      <protection/>
    </xf>
    <xf numFmtId="0" fontId="54" fillId="0" borderId="22" xfId="0" applyNumberFormat="1" applyFont="1" applyFill="1" applyBorder="1" applyAlignment="1" applyProtection="1">
      <alignment horizontal="left" vertical="center"/>
      <protection/>
    </xf>
    <xf numFmtId="0" fontId="54" fillId="0" borderId="0" xfId="0" applyNumberFormat="1" applyFont="1" applyFill="1" applyBorder="1" applyAlignment="1" applyProtection="1">
      <alignment horizontal="left" vertical="center"/>
      <protection/>
    </xf>
    <xf numFmtId="0" fontId="54" fillId="0" borderId="11" xfId="0" applyNumberFormat="1" applyFont="1" applyFill="1" applyBorder="1" applyAlignment="1" applyProtection="1">
      <alignment horizontal="left" vertical="center"/>
      <protection/>
    </xf>
    <xf numFmtId="0" fontId="53" fillId="0" borderId="42" xfId="0" applyNumberFormat="1" applyFont="1" applyFill="1" applyBorder="1" applyAlignment="1" applyProtection="1">
      <alignment horizontal="left" vertical="center"/>
      <protection/>
    </xf>
    <xf numFmtId="0" fontId="53" fillId="0" borderId="25" xfId="0" applyNumberFormat="1" applyFont="1" applyFill="1" applyBorder="1" applyAlignment="1" applyProtection="1">
      <alignment horizontal="left" vertical="center"/>
      <protection/>
    </xf>
    <xf numFmtId="0" fontId="53" fillId="33" borderId="43" xfId="0" applyNumberFormat="1" applyFont="1" applyFill="1" applyBorder="1" applyAlignment="1" applyProtection="1">
      <alignment horizontal="left" vertical="center"/>
      <protection/>
    </xf>
    <xf numFmtId="0" fontId="53" fillId="33" borderId="42" xfId="0" applyNumberFormat="1" applyFont="1" applyFill="1" applyBorder="1" applyAlignment="1" applyProtection="1">
      <alignment horizontal="left" vertical="center"/>
      <protection/>
    </xf>
    <xf numFmtId="0" fontId="53" fillId="33" borderId="30" xfId="0" applyNumberFormat="1" applyFont="1" applyFill="1" applyBorder="1" applyAlignment="1" applyProtection="1">
      <alignment horizontal="left" vertical="center"/>
      <protection/>
    </xf>
    <xf numFmtId="0" fontId="53" fillId="33" borderId="25" xfId="0" applyNumberFormat="1" applyFont="1" applyFill="1" applyBorder="1" applyAlignment="1" applyProtection="1">
      <alignment horizontal="left" vertical="center"/>
      <protection/>
    </xf>
    <xf numFmtId="0" fontId="54" fillId="0" borderId="40" xfId="0" applyNumberFormat="1" applyFont="1" applyFill="1" applyBorder="1" applyAlignment="1" applyProtection="1">
      <alignment horizontal="left" vertical="center"/>
      <protection/>
    </xf>
    <xf numFmtId="0" fontId="54" fillId="0" borderId="32" xfId="0" applyNumberFormat="1" applyFont="1" applyFill="1" applyBorder="1" applyAlignment="1" applyProtection="1">
      <alignment horizontal="left" vertical="center"/>
      <protection/>
    </xf>
    <xf numFmtId="0" fontId="54" fillId="0" borderId="44" xfId="0" applyNumberFormat="1" applyFont="1" applyFill="1" applyBorder="1" applyAlignment="1" applyProtection="1">
      <alignment horizontal="left" vertical="center"/>
      <protection/>
    </xf>
    <xf numFmtId="0" fontId="54" fillId="0" borderId="45" xfId="0" applyNumberFormat="1" applyFont="1" applyFill="1" applyBorder="1" applyAlignment="1" applyProtection="1">
      <alignment horizontal="left" vertical="center"/>
      <protection/>
    </xf>
    <xf numFmtId="0" fontId="54" fillId="0" borderId="46" xfId="0" applyNumberFormat="1" applyFont="1" applyFill="1" applyBorder="1" applyAlignment="1" applyProtection="1">
      <alignment horizontal="left" vertical="center"/>
      <protection/>
    </xf>
    <xf numFmtId="0" fontId="54" fillId="0" borderId="41" xfId="0" applyNumberFormat="1" applyFont="1" applyFill="1" applyBorder="1" applyAlignment="1" applyProtection="1">
      <alignment horizontal="left" vertical="center"/>
      <protection/>
    </xf>
    <xf numFmtId="0" fontId="54" fillId="0" borderId="34" xfId="0" applyNumberFormat="1" applyFont="1" applyFill="1" applyBorder="1" applyAlignment="1" applyProtection="1">
      <alignment horizontal="left" vertical="center"/>
      <protection/>
    </xf>
    <xf numFmtId="0" fontId="54" fillId="0" borderId="26" xfId="0" applyNumberFormat="1" applyFont="1" applyFill="1" applyBorder="1" applyAlignment="1" applyProtection="1">
      <alignment horizontal="left" vertical="center"/>
      <protection/>
    </xf>
    <xf numFmtId="0" fontId="53" fillId="0" borderId="0" xfId="0" applyNumberFormat="1" applyFont="1" applyFill="1" applyBorder="1" applyAlignment="1" applyProtection="1">
      <alignment horizontal="left" vertical="center"/>
      <protection/>
    </xf>
    <xf numFmtId="0" fontId="47" fillId="0" borderId="38" xfId="0" applyNumberFormat="1" applyFont="1" applyFill="1" applyBorder="1" applyAlignment="1" applyProtection="1">
      <alignment horizontal="left" vertical="center"/>
      <protection/>
    </xf>
    <xf numFmtId="0" fontId="47" fillId="0" borderId="39" xfId="0" applyNumberFormat="1" applyFont="1" applyFill="1" applyBorder="1" applyAlignment="1" applyProtection="1">
      <alignment horizontal="left" vertical="center"/>
      <protection/>
    </xf>
    <xf numFmtId="0" fontId="47" fillId="0" borderId="13" xfId="0" applyNumberFormat="1" applyFont="1" applyFill="1" applyBorder="1" applyAlignment="1" applyProtection="1">
      <alignment horizontal="left" vertical="center"/>
      <protection/>
    </xf>
    <xf numFmtId="0" fontId="47" fillId="0" borderId="15" xfId="0" applyNumberFormat="1" applyFont="1" applyFill="1" applyBorder="1" applyAlignment="1" applyProtection="1">
      <alignment horizontal="left" vertical="center"/>
      <protection/>
    </xf>
    <xf numFmtId="0" fontId="47" fillId="0" borderId="14" xfId="0" applyNumberFormat="1" applyFont="1" applyFill="1" applyBorder="1" applyAlignment="1" applyProtection="1">
      <alignment horizontal="left" vertical="center"/>
      <protection/>
    </xf>
    <xf numFmtId="0" fontId="53" fillId="0" borderId="15" xfId="0" applyNumberFormat="1" applyFont="1" applyFill="1" applyBorder="1" applyAlignment="1" applyProtection="1">
      <alignment horizontal="left" vertical="center"/>
      <protection/>
    </xf>
    <xf numFmtId="0" fontId="53" fillId="0" borderId="29" xfId="0" applyNumberFormat="1" applyFont="1" applyFill="1" applyBorder="1" applyAlignment="1" applyProtection="1">
      <alignment horizontal="left" vertical="center"/>
      <protection/>
    </xf>
    <xf numFmtId="0" fontId="53" fillId="0" borderId="14" xfId="0" applyNumberFormat="1" applyFont="1" applyFill="1" applyBorder="1" applyAlignment="1" applyProtection="1">
      <alignment horizontal="left" vertical="center"/>
      <protection/>
    </xf>
    <xf numFmtId="4" fontId="53" fillId="0" borderId="29" xfId="0" applyNumberFormat="1" applyFont="1" applyFill="1" applyBorder="1" applyAlignment="1" applyProtection="1">
      <alignment horizontal="right" vertical="center"/>
      <protection/>
    </xf>
    <xf numFmtId="0" fontId="53" fillId="0" borderId="29" xfId="0" applyNumberFormat="1" applyFont="1" applyFill="1" applyBorder="1" applyAlignment="1" applyProtection="1">
      <alignment horizontal="right" vertical="center"/>
      <protection/>
    </xf>
    <xf numFmtId="0" fontId="53" fillId="0" borderId="14" xfId="0" applyNumberFormat="1" applyFont="1" applyFill="1" applyBorder="1" applyAlignment="1" applyProtection="1">
      <alignment horizontal="right" vertical="center"/>
      <protection/>
    </xf>
  </cellXfs>
  <cellStyles count="45">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0]" xfId="35"/>
    <cellStyle name="Kontrolní buňka" xfId="36"/>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400050</xdr:colOff>
      <xdr:row>0</xdr:row>
      <xdr:rowOff>666750</xdr:rowOff>
    </xdr:to>
    <xdr:pic>
      <xdr:nvPicPr>
        <xdr:cNvPr id="1" name="Picture 2"/>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22"/>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20"/>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24"/>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26"/>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28"/>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30"/>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32"/>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34"/>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36"/>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38"/>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666750</xdr:colOff>
      <xdr:row>0</xdr:row>
      <xdr:rowOff>666750</xdr:rowOff>
    </xdr:to>
    <xdr:pic>
      <xdr:nvPicPr>
        <xdr:cNvPr id="1" name="Picture 4"/>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40"/>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42"/>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44"/>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46"/>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48"/>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50"/>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52"/>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95250</xdr:colOff>
      <xdr:row>0</xdr:row>
      <xdr:rowOff>666750</xdr:rowOff>
    </xdr:to>
    <xdr:pic>
      <xdr:nvPicPr>
        <xdr:cNvPr id="1" name="Picture 6"/>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8"/>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10"/>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12"/>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14"/>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16"/>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1" name="Picture 18"/>
        <xdr:cNvPicPr preferRelativeResize="1">
          <a:picLocks noChangeAspect="1"/>
        </xdr:cNvPicPr>
      </xdr:nvPicPr>
      <xdr:blipFill>
        <a:blip r:embed="rId1"/>
        <a:stretch>
          <a:fillRect/>
        </a:stretch>
      </xdr:blipFill>
      <xdr:spPr>
        <a:xfrm>
          <a:off x="0" y="0"/>
          <a:ext cx="666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BS612"/>
  <sheetViews>
    <sheetView tabSelected="1" showOutlineSymbols="0" zoomScalePageLayoutView="0" workbookViewId="0" topLeftCell="A1">
      <pane ySplit="11" topLeftCell="A496" activePane="bottomLeft" state="frozen"/>
      <selection pane="topLeft" activeCell="A612" sqref="A612:M612"/>
      <selection pane="bottomLeft" activeCell="C589" sqref="C589:F589"/>
    </sheetView>
  </sheetViews>
  <sheetFormatPr defaultColWidth="14.16015625" defaultRowHeight="15" customHeight="1"/>
  <cols>
    <col min="1" max="1" width="4.66015625" style="0" customWidth="1"/>
    <col min="2" max="2" width="20.83203125" style="0" customWidth="1"/>
    <col min="3" max="3" width="1.66796875" style="0" customWidth="1"/>
    <col min="4" max="4" width="79.66015625" style="0" customWidth="1"/>
    <col min="5" max="6" width="14.16015625" style="0" customWidth="1"/>
    <col min="7" max="7" width="7.83203125" style="0" customWidth="1"/>
    <col min="8" max="8" width="15" style="0" customWidth="1"/>
    <col min="9" max="9" width="14" style="0" customWidth="1"/>
    <col min="10" max="12" width="18.33203125" style="0" customWidth="1"/>
    <col min="13" max="13" width="13.66015625" style="0" customWidth="1"/>
    <col min="14" max="24" width="14.16015625" style="0" customWidth="1"/>
    <col min="25" max="74" width="14.16015625" style="0" hidden="1" customWidth="1"/>
  </cols>
  <sheetData>
    <row r="1" spans="1:47" ht="54.75" customHeight="1">
      <c r="A1" s="72" t="s">
        <v>1150</v>
      </c>
      <c r="B1" s="72"/>
      <c r="C1" s="72"/>
      <c r="D1" s="72"/>
      <c r="E1" s="72"/>
      <c r="F1" s="72"/>
      <c r="G1" s="72"/>
      <c r="H1" s="72"/>
      <c r="I1" s="72"/>
      <c r="J1" s="72"/>
      <c r="K1" s="72"/>
      <c r="L1" s="72"/>
      <c r="M1" s="72"/>
      <c r="AS1" s="63">
        <f>SUM(AJ1:AJ2)</f>
        <v>0</v>
      </c>
      <c r="AT1" s="63">
        <f>SUM(AK1:AK2)</f>
        <v>0</v>
      </c>
      <c r="AU1" s="63">
        <f>SUM(AL1:AL2)</f>
        <v>0</v>
      </c>
    </row>
    <row r="2" spans="1:13" ht="15" customHeight="1">
      <c r="A2" s="73" t="s">
        <v>93</v>
      </c>
      <c r="B2" s="74"/>
      <c r="C2" s="80" t="s">
        <v>1174</v>
      </c>
      <c r="D2" s="81"/>
      <c r="E2" s="74" t="s">
        <v>12</v>
      </c>
      <c r="F2" s="74"/>
      <c r="G2" s="74" t="s">
        <v>1075</v>
      </c>
      <c r="H2" s="74"/>
      <c r="I2" s="78" t="s">
        <v>1066</v>
      </c>
      <c r="J2" s="74" t="s">
        <v>571</v>
      </c>
      <c r="K2" s="74"/>
      <c r="L2" s="74"/>
      <c r="M2" s="83"/>
    </row>
    <row r="3" spans="1:13" ht="15" customHeight="1">
      <c r="A3" s="75"/>
      <c r="B3" s="76"/>
      <c r="C3" s="82"/>
      <c r="D3" s="82"/>
      <c r="E3" s="76"/>
      <c r="F3" s="76"/>
      <c r="G3" s="76"/>
      <c r="H3" s="76"/>
      <c r="I3" s="76"/>
      <c r="J3" s="76"/>
      <c r="K3" s="76"/>
      <c r="L3" s="76"/>
      <c r="M3" s="84"/>
    </row>
    <row r="4" spans="1:13" ht="15" customHeight="1">
      <c r="A4" s="77" t="s">
        <v>689</v>
      </c>
      <c r="B4" s="76"/>
      <c r="C4" s="79" t="s">
        <v>351</v>
      </c>
      <c r="D4" s="76"/>
      <c r="E4" s="76" t="s">
        <v>1120</v>
      </c>
      <c r="F4" s="76"/>
      <c r="G4" s="76" t="s">
        <v>243</v>
      </c>
      <c r="H4" s="76"/>
      <c r="I4" s="79" t="s">
        <v>874</v>
      </c>
      <c r="J4" s="79" t="s">
        <v>1247</v>
      </c>
      <c r="K4" s="76"/>
      <c r="L4" s="76"/>
      <c r="M4" s="84"/>
    </row>
    <row r="5" spans="1:13" ht="15" customHeight="1">
      <c r="A5" s="75"/>
      <c r="B5" s="76"/>
      <c r="C5" s="76"/>
      <c r="D5" s="76"/>
      <c r="E5" s="76"/>
      <c r="F5" s="76"/>
      <c r="G5" s="76"/>
      <c r="H5" s="76"/>
      <c r="I5" s="76"/>
      <c r="J5" s="76"/>
      <c r="K5" s="76"/>
      <c r="L5" s="76"/>
      <c r="M5" s="84"/>
    </row>
    <row r="6" spans="1:13" ht="15" customHeight="1">
      <c r="A6" s="77" t="s">
        <v>117</v>
      </c>
      <c r="B6" s="76"/>
      <c r="C6" s="79" t="s">
        <v>526</v>
      </c>
      <c r="D6" s="76"/>
      <c r="E6" s="76" t="s">
        <v>400</v>
      </c>
      <c r="F6" s="76"/>
      <c r="G6" s="76" t="s">
        <v>732</v>
      </c>
      <c r="H6" s="76"/>
      <c r="I6" s="79" t="s">
        <v>1103</v>
      </c>
      <c r="J6" s="76" t="s">
        <v>571</v>
      </c>
      <c r="K6" s="76"/>
      <c r="L6" s="76"/>
      <c r="M6" s="84"/>
    </row>
    <row r="7" spans="1:13" ht="15" customHeight="1">
      <c r="A7" s="75"/>
      <c r="B7" s="76"/>
      <c r="C7" s="76"/>
      <c r="D7" s="76"/>
      <c r="E7" s="76"/>
      <c r="F7" s="76"/>
      <c r="G7" s="76"/>
      <c r="H7" s="76"/>
      <c r="I7" s="76"/>
      <c r="J7" s="76"/>
      <c r="K7" s="76"/>
      <c r="L7" s="76"/>
      <c r="M7" s="84"/>
    </row>
    <row r="8" spans="1:13" ht="15" customHeight="1">
      <c r="A8" s="77" t="s">
        <v>602</v>
      </c>
      <c r="B8" s="76"/>
      <c r="C8" s="79" t="s">
        <v>1172</v>
      </c>
      <c r="D8" s="76"/>
      <c r="E8" s="76" t="s">
        <v>707</v>
      </c>
      <c r="F8" s="76"/>
      <c r="G8" s="76" t="s">
        <v>1342</v>
      </c>
      <c r="H8" s="76"/>
      <c r="I8" s="79" t="s">
        <v>843</v>
      </c>
      <c r="J8" s="76" t="s">
        <v>571</v>
      </c>
      <c r="K8" s="76"/>
      <c r="L8" s="76"/>
      <c r="M8" s="84"/>
    </row>
    <row r="9" spans="1:13" ht="15" customHeight="1">
      <c r="A9" s="75"/>
      <c r="B9" s="76"/>
      <c r="C9" s="76"/>
      <c r="D9" s="76"/>
      <c r="E9" s="76"/>
      <c r="F9" s="76"/>
      <c r="G9" s="76"/>
      <c r="H9" s="76"/>
      <c r="I9" s="76"/>
      <c r="J9" s="76"/>
      <c r="K9" s="76"/>
      <c r="L9" s="76"/>
      <c r="M9" s="84"/>
    </row>
    <row r="10" spans="1:64" ht="15" customHeight="1">
      <c r="A10" s="60" t="s">
        <v>103</v>
      </c>
      <c r="B10" s="34" t="s">
        <v>406</v>
      </c>
      <c r="C10" s="85" t="s">
        <v>1370</v>
      </c>
      <c r="D10" s="85"/>
      <c r="E10" s="85"/>
      <c r="F10" s="86"/>
      <c r="G10" s="34" t="s">
        <v>430</v>
      </c>
      <c r="H10" s="35" t="s">
        <v>762</v>
      </c>
      <c r="I10" s="65" t="s">
        <v>399</v>
      </c>
      <c r="J10" s="89" t="s">
        <v>812</v>
      </c>
      <c r="K10" s="90"/>
      <c r="L10" s="91"/>
      <c r="M10" s="35" t="s">
        <v>339</v>
      </c>
      <c r="BK10" s="11" t="s">
        <v>491</v>
      </c>
      <c r="BL10" s="41" t="s">
        <v>654</v>
      </c>
    </row>
    <row r="11" spans="1:62" ht="15" customHeight="1">
      <c r="A11" s="25" t="s">
        <v>1172</v>
      </c>
      <c r="B11" s="55" t="s">
        <v>1172</v>
      </c>
      <c r="C11" s="87" t="s">
        <v>1267</v>
      </c>
      <c r="D11" s="87"/>
      <c r="E11" s="87"/>
      <c r="F11" s="88"/>
      <c r="G11" s="55" t="s">
        <v>1172</v>
      </c>
      <c r="H11" s="55" t="s">
        <v>1172</v>
      </c>
      <c r="I11" s="71" t="s">
        <v>1205</v>
      </c>
      <c r="J11" s="70" t="s">
        <v>71</v>
      </c>
      <c r="K11" s="47" t="s">
        <v>238</v>
      </c>
      <c r="L11" s="39" t="s">
        <v>135</v>
      </c>
      <c r="M11" s="47" t="s">
        <v>325</v>
      </c>
      <c r="Z11" s="11" t="s">
        <v>1001</v>
      </c>
      <c r="AA11" s="11" t="s">
        <v>782</v>
      </c>
      <c r="AB11" s="11" t="s">
        <v>1298</v>
      </c>
      <c r="AC11" s="11" t="s">
        <v>358</v>
      </c>
      <c r="AD11" s="11" t="s">
        <v>1076</v>
      </c>
      <c r="AE11" s="11" t="s">
        <v>457</v>
      </c>
      <c r="AF11" s="11" t="s">
        <v>1137</v>
      </c>
      <c r="AG11" s="11" t="s">
        <v>531</v>
      </c>
      <c r="AH11" s="11" t="s">
        <v>330</v>
      </c>
      <c r="BH11" s="11" t="s">
        <v>1002</v>
      </c>
      <c r="BI11" s="11" t="s">
        <v>1277</v>
      </c>
      <c r="BJ11" s="11" t="s">
        <v>1386</v>
      </c>
    </row>
    <row r="12" spans="1:13" ht="15" customHeight="1">
      <c r="A12" s="50" t="s">
        <v>878</v>
      </c>
      <c r="B12" s="10" t="s">
        <v>878</v>
      </c>
      <c r="C12" s="92" t="s">
        <v>1057</v>
      </c>
      <c r="D12" s="92"/>
      <c r="E12" s="92"/>
      <c r="F12" s="92"/>
      <c r="G12" s="64" t="s">
        <v>1172</v>
      </c>
      <c r="H12" s="64" t="s">
        <v>1172</v>
      </c>
      <c r="I12" s="64" t="s">
        <v>1172</v>
      </c>
      <c r="J12" s="22">
        <f>J13+J16+J18+J22+J25+J32+J36+J44+J58+J60+J62+J67</f>
        <v>0</v>
      </c>
      <c r="K12" s="22">
        <f>K13+K16+K18+K22+K25+K32+K36+K44+K58+K60+K62+K67</f>
        <v>0</v>
      </c>
      <c r="L12" s="22">
        <f>L13+L16+L18+L22+L25+L32+L36+L44+L58+L60+L62+L67</f>
        <v>0</v>
      </c>
      <c r="M12" s="43" t="s">
        <v>878</v>
      </c>
    </row>
    <row r="13" spans="1:47" ht="15" customHeight="1">
      <c r="A13" s="24" t="s">
        <v>878</v>
      </c>
      <c r="B13" s="66" t="s">
        <v>368</v>
      </c>
      <c r="C13" s="92" t="s">
        <v>13</v>
      </c>
      <c r="D13" s="92"/>
      <c r="E13" s="92"/>
      <c r="F13" s="92"/>
      <c r="G13" s="3" t="s">
        <v>1172</v>
      </c>
      <c r="H13" s="3" t="s">
        <v>1172</v>
      </c>
      <c r="I13" s="3" t="s">
        <v>1172</v>
      </c>
      <c r="J13" s="63">
        <f>SUM(J14:J14)</f>
        <v>0</v>
      </c>
      <c r="K13" s="63">
        <f>SUM(K14:K14)</f>
        <v>0</v>
      </c>
      <c r="L13" s="63">
        <f>SUM(L14:L14)</f>
        <v>0</v>
      </c>
      <c r="M13" s="4" t="s">
        <v>878</v>
      </c>
      <c r="AI13" s="11" t="s">
        <v>1302</v>
      </c>
      <c r="AS13" s="63">
        <f>SUM(AJ14:AJ14)</f>
        <v>0</v>
      </c>
      <c r="AT13" s="63">
        <f>SUM(AK14:AK14)</f>
        <v>0</v>
      </c>
      <c r="AU13" s="63">
        <f>SUM(AL14:AL14)</f>
        <v>0</v>
      </c>
    </row>
    <row r="14" spans="1:64" ht="15" customHeight="1">
      <c r="A14" s="19" t="s">
        <v>1260</v>
      </c>
      <c r="B14" s="59" t="s">
        <v>979</v>
      </c>
      <c r="C14" s="76" t="s">
        <v>456</v>
      </c>
      <c r="D14" s="76"/>
      <c r="E14" s="76"/>
      <c r="F14" s="76"/>
      <c r="G14" s="59" t="s">
        <v>1220</v>
      </c>
      <c r="H14" s="40">
        <v>105</v>
      </c>
      <c r="I14" s="40">
        <v>0</v>
      </c>
      <c r="J14" s="40">
        <f>H14*AO14</f>
        <v>0</v>
      </c>
      <c r="K14" s="40">
        <f>H14*AP14</f>
        <v>0</v>
      </c>
      <c r="L14" s="40">
        <f>H14*I14</f>
        <v>0</v>
      </c>
      <c r="M14" s="69" t="s">
        <v>868</v>
      </c>
      <c r="Z14" s="40">
        <f>IF(AQ14="5",BJ14,0)</f>
        <v>0</v>
      </c>
      <c r="AB14" s="40">
        <f>IF(AQ14="1",BH14,0)</f>
        <v>0</v>
      </c>
      <c r="AC14" s="40">
        <f>IF(AQ14="1",BI14,0)</f>
        <v>0</v>
      </c>
      <c r="AD14" s="40">
        <f>IF(AQ14="7",BH14,0)</f>
        <v>0</v>
      </c>
      <c r="AE14" s="40">
        <f>IF(AQ14="7",BI14,0)</f>
        <v>0</v>
      </c>
      <c r="AF14" s="40">
        <f>IF(AQ14="2",BH14,0)</f>
        <v>0</v>
      </c>
      <c r="AG14" s="40">
        <f>IF(AQ14="2",BI14,0)</f>
        <v>0</v>
      </c>
      <c r="AH14" s="40">
        <f>IF(AQ14="0",BJ14,0)</f>
        <v>0</v>
      </c>
      <c r="AI14" s="11" t="s">
        <v>1302</v>
      </c>
      <c r="AJ14" s="40">
        <f>IF(AN14=0,L14,0)</f>
        <v>0</v>
      </c>
      <c r="AK14" s="40">
        <f>IF(AN14=15,L14,0)</f>
        <v>0</v>
      </c>
      <c r="AL14" s="40">
        <f>IF(AN14=21,L14,0)</f>
        <v>0</v>
      </c>
      <c r="AN14" s="40">
        <v>21</v>
      </c>
      <c r="AO14" s="40">
        <f>I14*0</f>
        <v>0</v>
      </c>
      <c r="AP14" s="40">
        <f>I14*(1-0)</f>
        <v>0</v>
      </c>
      <c r="AQ14" s="17" t="s">
        <v>1260</v>
      </c>
      <c r="AV14" s="40">
        <f>AW14+AX14</f>
        <v>0</v>
      </c>
      <c r="AW14" s="40">
        <f>H14*AO14</f>
        <v>0</v>
      </c>
      <c r="AX14" s="40">
        <f>H14*AP14</f>
        <v>0</v>
      </c>
      <c r="AY14" s="17" t="s">
        <v>1141</v>
      </c>
      <c r="AZ14" s="17" t="s">
        <v>1375</v>
      </c>
      <c r="BA14" s="11" t="s">
        <v>698</v>
      </c>
      <c r="BC14" s="40">
        <f>AW14+AX14</f>
        <v>0</v>
      </c>
      <c r="BD14" s="40">
        <f>I14/(100-BE14)*100</f>
        <v>0</v>
      </c>
      <c r="BE14" s="40">
        <v>0</v>
      </c>
      <c r="BF14" s="40">
        <f>14</f>
        <v>14</v>
      </c>
      <c r="BH14" s="40">
        <f>H14*AO14</f>
        <v>0</v>
      </c>
      <c r="BI14" s="40">
        <f>H14*AP14</f>
        <v>0</v>
      </c>
      <c r="BJ14" s="40">
        <f>H14*I14</f>
        <v>0</v>
      </c>
      <c r="BK14" s="40"/>
      <c r="BL14" s="40">
        <v>13</v>
      </c>
    </row>
    <row r="15" spans="1:13" ht="54" customHeight="1">
      <c r="A15" s="67"/>
      <c r="B15" s="18" t="s">
        <v>452</v>
      </c>
      <c r="C15" s="93" t="s">
        <v>8</v>
      </c>
      <c r="D15" s="94"/>
      <c r="E15" s="94"/>
      <c r="F15" s="94"/>
      <c r="G15" s="94"/>
      <c r="H15" s="94"/>
      <c r="I15" s="94"/>
      <c r="J15" s="94"/>
      <c r="K15" s="94"/>
      <c r="L15" s="94"/>
      <c r="M15" s="95"/>
    </row>
    <row r="16" spans="1:47" ht="15" customHeight="1">
      <c r="A16" s="24" t="s">
        <v>878</v>
      </c>
      <c r="B16" s="66" t="s">
        <v>123</v>
      </c>
      <c r="C16" s="92" t="s">
        <v>1052</v>
      </c>
      <c r="D16" s="92"/>
      <c r="E16" s="92"/>
      <c r="F16" s="92"/>
      <c r="G16" s="3" t="s">
        <v>1172</v>
      </c>
      <c r="H16" s="3" t="s">
        <v>1172</v>
      </c>
      <c r="I16" s="3" t="s">
        <v>1172</v>
      </c>
      <c r="J16" s="63">
        <f>SUM(J17:J17)</f>
        <v>0</v>
      </c>
      <c r="K16" s="63">
        <f>SUM(K17:K17)</f>
        <v>0</v>
      </c>
      <c r="L16" s="63">
        <f>SUM(L17:L17)</f>
        <v>0</v>
      </c>
      <c r="M16" s="4" t="s">
        <v>878</v>
      </c>
      <c r="AI16" s="11" t="s">
        <v>1302</v>
      </c>
      <c r="AS16" s="63">
        <f>SUM(AJ17:AJ17)</f>
        <v>0</v>
      </c>
      <c r="AT16" s="63">
        <f>SUM(AK17:AK17)</f>
        <v>0</v>
      </c>
      <c r="AU16" s="63">
        <f>SUM(AL17:AL17)</f>
        <v>0</v>
      </c>
    </row>
    <row r="17" spans="1:64" ht="15" customHeight="1">
      <c r="A17" s="19" t="s">
        <v>873</v>
      </c>
      <c r="B17" s="59" t="s">
        <v>282</v>
      </c>
      <c r="C17" s="76" t="s">
        <v>1422</v>
      </c>
      <c r="D17" s="76"/>
      <c r="E17" s="76"/>
      <c r="F17" s="76"/>
      <c r="G17" s="59" t="s">
        <v>1220</v>
      </c>
      <c r="H17" s="40">
        <v>145</v>
      </c>
      <c r="I17" s="40">
        <v>0</v>
      </c>
      <c r="J17" s="40">
        <f>H17*AO17</f>
        <v>0</v>
      </c>
      <c r="K17" s="40">
        <f>H17*AP17</f>
        <v>0</v>
      </c>
      <c r="L17" s="40">
        <f>H17*I17</f>
        <v>0</v>
      </c>
      <c r="M17" s="69" t="s">
        <v>868</v>
      </c>
      <c r="Z17" s="40">
        <f>IF(AQ17="5",BJ17,0)</f>
        <v>0</v>
      </c>
      <c r="AB17" s="40">
        <f>IF(AQ17="1",BH17,0)</f>
        <v>0</v>
      </c>
      <c r="AC17" s="40">
        <f>IF(AQ17="1",BI17,0)</f>
        <v>0</v>
      </c>
      <c r="AD17" s="40">
        <f>IF(AQ17="7",BH17,0)</f>
        <v>0</v>
      </c>
      <c r="AE17" s="40">
        <f>IF(AQ17="7",BI17,0)</f>
        <v>0</v>
      </c>
      <c r="AF17" s="40">
        <f>IF(AQ17="2",BH17,0)</f>
        <v>0</v>
      </c>
      <c r="AG17" s="40">
        <f>IF(AQ17="2",BI17,0)</f>
        <v>0</v>
      </c>
      <c r="AH17" s="40">
        <f>IF(AQ17="0",BJ17,0)</f>
        <v>0</v>
      </c>
      <c r="AI17" s="11" t="s">
        <v>1302</v>
      </c>
      <c r="AJ17" s="40">
        <f>IF(AN17=0,L17,0)</f>
        <v>0</v>
      </c>
      <c r="AK17" s="40">
        <f>IF(AN17=15,L17,0)</f>
        <v>0</v>
      </c>
      <c r="AL17" s="40">
        <f>IF(AN17=21,L17,0)</f>
        <v>0</v>
      </c>
      <c r="AN17" s="40">
        <v>21</v>
      </c>
      <c r="AO17" s="40">
        <f>I17*0</f>
        <v>0</v>
      </c>
      <c r="AP17" s="40">
        <f>I17*(1-0)</f>
        <v>0</v>
      </c>
      <c r="AQ17" s="17" t="s">
        <v>1260</v>
      </c>
      <c r="AV17" s="40">
        <f>AW17+AX17</f>
        <v>0</v>
      </c>
      <c r="AW17" s="40">
        <f>H17*AO17</f>
        <v>0</v>
      </c>
      <c r="AX17" s="40">
        <f>H17*AP17</f>
        <v>0</v>
      </c>
      <c r="AY17" s="17" t="s">
        <v>1175</v>
      </c>
      <c r="AZ17" s="17" t="s">
        <v>1375</v>
      </c>
      <c r="BA17" s="11" t="s">
        <v>698</v>
      </c>
      <c r="BC17" s="40">
        <f>AW17+AX17</f>
        <v>0</v>
      </c>
      <c r="BD17" s="40">
        <f>I17/(100-BE17)*100</f>
        <v>0</v>
      </c>
      <c r="BE17" s="40">
        <v>0</v>
      </c>
      <c r="BF17" s="40">
        <f>17</f>
        <v>17</v>
      </c>
      <c r="BH17" s="40">
        <f>H17*AO17</f>
        <v>0</v>
      </c>
      <c r="BI17" s="40">
        <f>H17*AP17</f>
        <v>0</v>
      </c>
      <c r="BJ17" s="40">
        <f>H17*I17</f>
        <v>0</v>
      </c>
      <c r="BK17" s="40"/>
      <c r="BL17" s="40">
        <v>16</v>
      </c>
    </row>
    <row r="18" spans="1:47" ht="15" customHeight="1">
      <c r="A18" s="24" t="s">
        <v>878</v>
      </c>
      <c r="B18" s="66" t="s">
        <v>885</v>
      </c>
      <c r="C18" s="92" t="s">
        <v>179</v>
      </c>
      <c r="D18" s="92"/>
      <c r="E18" s="92"/>
      <c r="F18" s="92"/>
      <c r="G18" s="3" t="s">
        <v>1172</v>
      </c>
      <c r="H18" s="3" t="s">
        <v>1172</v>
      </c>
      <c r="I18" s="3" t="s">
        <v>1172</v>
      </c>
      <c r="J18" s="63">
        <f>SUM(J19:J21)</f>
        <v>0</v>
      </c>
      <c r="K18" s="63">
        <f>SUM(K19:K21)</f>
        <v>0</v>
      </c>
      <c r="L18" s="63">
        <f>SUM(L19:L21)</f>
        <v>0</v>
      </c>
      <c r="M18" s="4" t="s">
        <v>878</v>
      </c>
      <c r="AI18" s="11" t="s">
        <v>1302</v>
      </c>
      <c r="AS18" s="63">
        <f>SUM(AJ19:AJ21)</f>
        <v>0</v>
      </c>
      <c r="AT18" s="63">
        <f>SUM(AK19:AK21)</f>
        <v>0</v>
      </c>
      <c r="AU18" s="63">
        <f>SUM(AL19:AL21)</f>
        <v>0</v>
      </c>
    </row>
    <row r="19" spans="1:64" ht="15" customHeight="1">
      <c r="A19" s="19" t="s">
        <v>1087</v>
      </c>
      <c r="B19" s="59" t="s">
        <v>931</v>
      </c>
      <c r="C19" s="76" t="s">
        <v>652</v>
      </c>
      <c r="D19" s="76"/>
      <c r="E19" s="76"/>
      <c r="F19" s="76"/>
      <c r="G19" s="59" t="s">
        <v>1220</v>
      </c>
      <c r="H19" s="40">
        <v>105</v>
      </c>
      <c r="I19" s="40">
        <v>0</v>
      </c>
      <c r="J19" s="40">
        <f>H19*AO19</f>
        <v>0</v>
      </c>
      <c r="K19" s="40">
        <f>H19*AP19</f>
        <v>0</v>
      </c>
      <c r="L19" s="40">
        <f>H19*I19</f>
        <v>0</v>
      </c>
      <c r="M19" s="69" t="s">
        <v>868</v>
      </c>
      <c r="Z19" s="40">
        <f>IF(AQ19="5",BJ19,0)</f>
        <v>0</v>
      </c>
      <c r="AB19" s="40">
        <f>IF(AQ19="1",BH19,0)</f>
        <v>0</v>
      </c>
      <c r="AC19" s="40">
        <f>IF(AQ19="1",BI19,0)</f>
        <v>0</v>
      </c>
      <c r="AD19" s="40">
        <f>IF(AQ19="7",BH19,0)</f>
        <v>0</v>
      </c>
      <c r="AE19" s="40">
        <f>IF(AQ19="7",BI19,0)</f>
        <v>0</v>
      </c>
      <c r="AF19" s="40">
        <f>IF(AQ19="2",BH19,0)</f>
        <v>0</v>
      </c>
      <c r="AG19" s="40">
        <f>IF(AQ19="2",BI19,0)</f>
        <v>0</v>
      </c>
      <c r="AH19" s="40">
        <f>IF(AQ19="0",BJ19,0)</f>
        <v>0</v>
      </c>
      <c r="AI19" s="11" t="s">
        <v>1302</v>
      </c>
      <c r="AJ19" s="40">
        <f>IF(AN19=0,L19,0)</f>
        <v>0</v>
      </c>
      <c r="AK19" s="40">
        <f>IF(AN19=15,L19,0)</f>
        <v>0</v>
      </c>
      <c r="AL19" s="40">
        <f>IF(AN19=21,L19,0)</f>
        <v>0</v>
      </c>
      <c r="AN19" s="40">
        <v>21</v>
      </c>
      <c r="AO19" s="40">
        <f>I19*0</f>
        <v>0</v>
      </c>
      <c r="AP19" s="40">
        <f>I19*(1-0)</f>
        <v>0</v>
      </c>
      <c r="AQ19" s="17" t="s">
        <v>1260</v>
      </c>
      <c r="AV19" s="40">
        <f>AW19+AX19</f>
        <v>0</v>
      </c>
      <c r="AW19" s="40">
        <f>H19*AO19</f>
        <v>0</v>
      </c>
      <c r="AX19" s="40">
        <f>H19*AP19</f>
        <v>0</v>
      </c>
      <c r="AY19" s="17" t="s">
        <v>251</v>
      </c>
      <c r="AZ19" s="17" t="s">
        <v>1375</v>
      </c>
      <c r="BA19" s="11" t="s">
        <v>698</v>
      </c>
      <c r="BC19" s="40">
        <f>AW19+AX19</f>
        <v>0</v>
      </c>
      <c r="BD19" s="40">
        <f>I19/(100-BE19)*100</f>
        <v>0</v>
      </c>
      <c r="BE19" s="40">
        <v>0</v>
      </c>
      <c r="BF19" s="40">
        <f>19</f>
        <v>19</v>
      </c>
      <c r="BH19" s="40">
        <f>H19*AO19</f>
        <v>0</v>
      </c>
      <c r="BI19" s="40">
        <f>H19*AP19</f>
        <v>0</v>
      </c>
      <c r="BJ19" s="40">
        <f>H19*I19</f>
        <v>0</v>
      </c>
      <c r="BK19" s="40"/>
      <c r="BL19" s="40">
        <v>17</v>
      </c>
    </row>
    <row r="20" spans="1:13" ht="13.5" customHeight="1">
      <c r="A20" s="67"/>
      <c r="B20" s="18" t="s">
        <v>452</v>
      </c>
      <c r="C20" s="93" t="s">
        <v>941</v>
      </c>
      <c r="D20" s="94"/>
      <c r="E20" s="94"/>
      <c r="F20" s="94"/>
      <c r="G20" s="94"/>
      <c r="H20" s="94"/>
      <c r="I20" s="94"/>
      <c r="J20" s="94"/>
      <c r="K20" s="94"/>
      <c r="L20" s="94"/>
      <c r="M20" s="95"/>
    </row>
    <row r="21" spans="1:64" ht="15" customHeight="1">
      <c r="A21" s="19" t="s">
        <v>152</v>
      </c>
      <c r="B21" s="59" t="s">
        <v>1406</v>
      </c>
      <c r="C21" s="76" t="s">
        <v>507</v>
      </c>
      <c r="D21" s="76"/>
      <c r="E21" s="76"/>
      <c r="F21" s="76"/>
      <c r="G21" s="59" t="s">
        <v>1220</v>
      </c>
      <c r="H21" s="40">
        <v>40</v>
      </c>
      <c r="I21" s="40">
        <v>0</v>
      </c>
      <c r="J21" s="40">
        <f>H21*AO21</f>
        <v>0</v>
      </c>
      <c r="K21" s="40">
        <f>H21*AP21</f>
        <v>0</v>
      </c>
      <c r="L21" s="40">
        <f>H21*I21</f>
        <v>0</v>
      </c>
      <c r="M21" s="69" t="s">
        <v>868</v>
      </c>
      <c r="Z21" s="40">
        <f>IF(AQ21="5",BJ21,0)</f>
        <v>0</v>
      </c>
      <c r="AB21" s="40">
        <f>IF(AQ21="1",BH21,0)</f>
        <v>0</v>
      </c>
      <c r="AC21" s="40">
        <f>IF(AQ21="1",BI21,0)</f>
        <v>0</v>
      </c>
      <c r="AD21" s="40">
        <f>IF(AQ21="7",BH21,0)</f>
        <v>0</v>
      </c>
      <c r="AE21" s="40">
        <f>IF(AQ21="7",BI21,0)</f>
        <v>0</v>
      </c>
      <c r="AF21" s="40">
        <f>IF(AQ21="2",BH21,0)</f>
        <v>0</v>
      </c>
      <c r="AG21" s="40">
        <f>IF(AQ21="2",BI21,0)</f>
        <v>0</v>
      </c>
      <c r="AH21" s="40">
        <f>IF(AQ21="0",BJ21,0)</f>
        <v>0</v>
      </c>
      <c r="AI21" s="11" t="s">
        <v>1302</v>
      </c>
      <c r="AJ21" s="40">
        <f>IF(AN21=0,L21,0)</f>
        <v>0</v>
      </c>
      <c r="AK21" s="40">
        <f>IF(AN21=15,L21,0)</f>
        <v>0</v>
      </c>
      <c r="AL21" s="40">
        <f>IF(AN21=21,L21,0)</f>
        <v>0</v>
      </c>
      <c r="AN21" s="40">
        <v>21</v>
      </c>
      <c r="AO21" s="40">
        <f>I21*0.62566560170394</f>
        <v>0</v>
      </c>
      <c r="AP21" s="40">
        <f>I21*(1-0.62566560170394)</f>
        <v>0</v>
      </c>
      <c r="AQ21" s="17" t="s">
        <v>1260</v>
      </c>
      <c r="AV21" s="40">
        <f>AW21+AX21</f>
        <v>0</v>
      </c>
      <c r="AW21" s="40">
        <f>H21*AO21</f>
        <v>0</v>
      </c>
      <c r="AX21" s="40">
        <f>H21*AP21</f>
        <v>0</v>
      </c>
      <c r="AY21" s="17" t="s">
        <v>251</v>
      </c>
      <c r="AZ21" s="17" t="s">
        <v>1375</v>
      </c>
      <c r="BA21" s="11" t="s">
        <v>698</v>
      </c>
      <c r="BC21" s="40">
        <f>AW21+AX21</f>
        <v>0</v>
      </c>
      <c r="BD21" s="40">
        <f>I21/(100-BE21)*100</f>
        <v>0</v>
      </c>
      <c r="BE21" s="40">
        <v>0</v>
      </c>
      <c r="BF21" s="40">
        <f>21</f>
        <v>21</v>
      </c>
      <c r="BH21" s="40">
        <f>H21*AO21</f>
        <v>0</v>
      </c>
      <c r="BI21" s="40">
        <f>H21*AP21</f>
        <v>0</v>
      </c>
      <c r="BJ21" s="40">
        <f>H21*I21</f>
        <v>0</v>
      </c>
      <c r="BK21" s="40"/>
      <c r="BL21" s="40">
        <v>17</v>
      </c>
    </row>
    <row r="22" spans="1:47" ht="15" customHeight="1">
      <c r="A22" s="24" t="s">
        <v>878</v>
      </c>
      <c r="B22" s="66" t="s">
        <v>932</v>
      </c>
      <c r="C22" s="92" t="s">
        <v>143</v>
      </c>
      <c r="D22" s="92"/>
      <c r="E22" s="92"/>
      <c r="F22" s="92"/>
      <c r="G22" s="3" t="s">
        <v>1172</v>
      </c>
      <c r="H22" s="3" t="s">
        <v>1172</v>
      </c>
      <c r="I22" s="3" t="s">
        <v>1172</v>
      </c>
      <c r="J22" s="63">
        <f>SUM(J23:J24)</f>
        <v>0</v>
      </c>
      <c r="K22" s="63">
        <f>SUM(K23:K24)</f>
        <v>0</v>
      </c>
      <c r="L22" s="63">
        <f>SUM(L23:L24)</f>
        <v>0</v>
      </c>
      <c r="M22" s="4" t="s">
        <v>878</v>
      </c>
      <c r="AI22" s="11" t="s">
        <v>1302</v>
      </c>
      <c r="AS22" s="63">
        <f>SUM(AJ23:AJ24)</f>
        <v>0</v>
      </c>
      <c r="AT22" s="63">
        <f>SUM(AK23:AK24)</f>
        <v>0</v>
      </c>
      <c r="AU22" s="63">
        <f>SUM(AL23:AL24)</f>
        <v>0</v>
      </c>
    </row>
    <row r="23" spans="1:64" ht="15" customHeight="1">
      <c r="A23" s="19" t="s">
        <v>668</v>
      </c>
      <c r="B23" s="59" t="s">
        <v>447</v>
      </c>
      <c r="C23" s="76" t="s">
        <v>971</v>
      </c>
      <c r="D23" s="76"/>
      <c r="E23" s="76"/>
      <c r="F23" s="76"/>
      <c r="G23" s="59" t="s">
        <v>565</v>
      </c>
      <c r="H23" s="40">
        <v>0.895</v>
      </c>
      <c r="I23" s="40">
        <v>0</v>
      </c>
      <c r="J23" s="40">
        <f>H23*AO23</f>
        <v>0</v>
      </c>
      <c r="K23" s="40">
        <f>H23*AP23</f>
        <v>0</v>
      </c>
      <c r="L23" s="40">
        <f>H23*I23</f>
        <v>0</v>
      </c>
      <c r="M23" s="69" t="s">
        <v>868</v>
      </c>
      <c r="Z23" s="40">
        <f>IF(AQ23="5",BJ23,0)</f>
        <v>0</v>
      </c>
      <c r="AB23" s="40">
        <f>IF(AQ23="1",BH23,0)</f>
        <v>0</v>
      </c>
      <c r="AC23" s="40">
        <f>IF(AQ23="1",BI23,0)</f>
        <v>0</v>
      </c>
      <c r="AD23" s="40">
        <f>IF(AQ23="7",BH23,0)</f>
        <v>0</v>
      </c>
      <c r="AE23" s="40">
        <f>IF(AQ23="7",BI23,0)</f>
        <v>0</v>
      </c>
      <c r="AF23" s="40">
        <f>IF(AQ23="2",BH23,0)</f>
        <v>0</v>
      </c>
      <c r="AG23" s="40">
        <f>IF(AQ23="2",BI23,0)</f>
        <v>0</v>
      </c>
      <c r="AH23" s="40">
        <f>IF(AQ23="0",BJ23,0)</f>
        <v>0</v>
      </c>
      <c r="AI23" s="11" t="s">
        <v>1302</v>
      </c>
      <c r="AJ23" s="40">
        <f>IF(AN23=0,L23,0)</f>
        <v>0</v>
      </c>
      <c r="AK23" s="40">
        <f>IF(AN23=15,L23,0)</f>
        <v>0</v>
      </c>
      <c r="AL23" s="40">
        <f>IF(AN23=21,L23,0)</f>
        <v>0</v>
      </c>
      <c r="AN23" s="40">
        <v>21</v>
      </c>
      <c r="AO23" s="40">
        <f>I23*0</f>
        <v>0</v>
      </c>
      <c r="AP23" s="40">
        <f>I23*(1-0)</f>
        <v>0</v>
      </c>
      <c r="AQ23" s="17" t="s">
        <v>668</v>
      </c>
      <c r="AV23" s="40">
        <f>AW23+AX23</f>
        <v>0</v>
      </c>
      <c r="AW23" s="40">
        <f>H23*AO23</f>
        <v>0</v>
      </c>
      <c r="AX23" s="40">
        <f>H23*AP23</f>
        <v>0</v>
      </c>
      <c r="AY23" s="17" t="s">
        <v>224</v>
      </c>
      <c r="AZ23" s="17" t="s">
        <v>274</v>
      </c>
      <c r="BA23" s="11" t="s">
        <v>698</v>
      </c>
      <c r="BC23" s="40">
        <f>AW23+AX23</f>
        <v>0</v>
      </c>
      <c r="BD23" s="40">
        <f>I23/(100-BE23)*100</f>
        <v>0</v>
      </c>
      <c r="BE23" s="40">
        <v>0</v>
      </c>
      <c r="BF23" s="40">
        <f>23</f>
        <v>23</v>
      </c>
      <c r="BH23" s="40">
        <f>H23*AO23</f>
        <v>0</v>
      </c>
      <c r="BI23" s="40">
        <f>H23*AP23</f>
        <v>0</v>
      </c>
      <c r="BJ23" s="40">
        <f>H23*I23</f>
        <v>0</v>
      </c>
      <c r="BK23" s="40"/>
      <c r="BL23" s="40"/>
    </row>
    <row r="24" spans="1:64" ht="15" customHeight="1">
      <c r="A24" s="19" t="s">
        <v>211</v>
      </c>
      <c r="B24" s="59" t="s">
        <v>1043</v>
      </c>
      <c r="C24" s="76" t="s">
        <v>75</v>
      </c>
      <c r="D24" s="76"/>
      <c r="E24" s="76"/>
      <c r="F24" s="76"/>
      <c r="G24" s="59" t="s">
        <v>565</v>
      </c>
      <c r="H24" s="40">
        <v>147.9119</v>
      </c>
      <c r="I24" s="40">
        <v>0</v>
      </c>
      <c r="J24" s="40">
        <f>H24*AO24</f>
        <v>0</v>
      </c>
      <c r="K24" s="40">
        <f>H24*AP24</f>
        <v>0</v>
      </c>
      <c r="L24" s="40">
        <f>H24*I24</f>
        <v>0</v>
      </c>
      <c r="M24" s="69" t="s">
        <v>868</v>
      </c>
      <c r="Z24" s="40">
        <f>IF(AQ24="5",BJ24,0)</f>
        <v>0</v>
      </c>
      <c r="AB24" s="40">
        <f>IF(AQ24="1",BH24,0)</f>
        <v>0</v>
      </c>
      <c r="AC24" s="40">
        <f>IF(AQ24="1",BI24,0)</f>
        <v>0</v>
      </c>
      <c r="AD24" s="40">
        <f>IF(AQ24="7",BH24,0)</f>
        <v>0</v>
      </c>
      <c r="AE24" s="40">
        <f>IF(AQ24="7",BI24,0)</f>
        <v>0</v>
      </c>
      <c r="AF24" s="40">
        <f>IF(AQ24="2",BH24,0)</f>
        <v>0</v>
      </c>
      <c r="AG24" s="40">
        <f>IF(AQ24="2",BI24,0)</f>
        <v>0</v>
      </c>
      <c r="AH24" s="40">
        <f>IF(AQ24="0",BJ24,0)</f>
        <v>0</v>
      </c>
      <c r="AI24" s="11" t="s">
        <v>1302</v>
      </c>
      <c r="AJ24" s="40">
        <f>IF(AN24=0,L24,0)</f>
        <v>0</v>
      </c>
      <c r="AK24" s="40">
        <f>IF(AN24=15,L24,0)</f>
        <v>0</v>
      </c>
      <c r="AL24" s="40">
        <f>IF(AN24=21,L24,0)</f>
        <v>0</v>
      </c>
      <c r="AN24" s="40">
        <v>21</v>
      </c>
      <c r="AO24" s="40">
        <f>I24*0</f>
        <v>0</v>
      </c>
      <c r="AP24" s="40">
        <f>I24*(1-0)</f>
        <v>0</v>
      </c>
      <c r="AQ24" s="17" t="s">
        <v>668</v>
      </c>
      <c r="AV24" s="40">
        <f>AW24+AX24</f>
        <v>0</v>
      </c>
      <c r="AW24" s="40">
        <f>H24*AO24</f>
        <v>0</v>
      </c>
      <c r="AX24" s="40">
        <f>H24*AP24</f>
        <v>0</v>
      </c>
      <c r="AY24" s="17" t="s">
        <v>224</v>
      </c>
      <c r="AZ24" s="17" t="s">
        <v>274</v>
      </c>
      <c r="BA24" s="11" t="s">
        <v>698</v>
      </c>
      <c r="BC24" s="40">
        <f>AW24+AX24</f>
        <v>0</v>
      </c>
      <c r="BD24" s="40">
        <f>I24/(100-BE24)*100</f>
        <v>0</v>
      </c>
      <c r="BE24" s="40">
        <v>0</v>
      </c>
      <c r="BF24" s="40">
        <f>24</f>
        <v>24</v>
      </c>
      <c r="BH24" s="40">
        <f>H24*AO24</f>
        <v>0</v>
      </c>
      <c r="BI24" s="40">
        <f>H24*AP24</f>
        <v>0</v>
      </c>
      <c r="BJ24" s="40">
        <f>H24*I24</f>
        <v>0</v>
      </c>
      <c r="BK24" s="40"/>
      <c r="BL24" s="40"/>
    </row>
    <row r="25" spans="1:47" ht="15" customHeight="1">
      <c r="A25" s="24" t="s">
        <v>878</v>
      </c>
      <c r="B25" s="66" t="s">
        <v>197</v>
      </c>
      <c r="C25" s="92" t="s">
        <v>972</v>
      </c>
      <c r="D25" s="92"/>
      <c r="E25" s="92"/>
      <c r="F25" s="92"/>
      <c r="G25" s="3" t="s">
        <v>1172</v>
      </c>
      <c r="H25" s="3" t="s">
        <v>1172</v>
      </c>
      <c r="I25" s="3" t="s">
        <v>1172</v>
      </c>
      <c r="J25" s="63">
        <f>SUM(J26:J31)</f>
        <v>0</v>
      </c>
      <c r="K25" s="63">
        <f>SUM(K26:K31)</f>
        <v>0</v>
      </c>
      <c r="L25" s="63">
        <f>SUM(L26:L31)</f>
        <v>0</v>
      </c>
      <c r="M25" s="4" t="s">
        <v>878</v>
      </c>
      <c r="AI25" s="11" t="s">
        <v>1302</v>
      </c>
      <c r="AS25" s="63">
        <f>SUM(AJ26:AJ31)</f>
        <v>0</v>
      </c>
      <c r="AT25" s="63">
        <f>SUM(AK26:AK31)</f>
        <v>0</v>
      </c>
      <c r="AU25" s="63">
        <f>SUM(AL26:AL31)</f>
        <v>0</v>
      </c>
    </row>
    <row r="26" spans="1:64" ht="15" customHeight="1">
      <c r="A26" s="19" t="s">
        <v>1262</v>
      </c>
      <c r="B26" s="59" t="s">
        <v>869</v>
      </c>
      <c r="C26" s="76" t="s">
        <v>701</v>
      </c>
      <c r="D26" s="76"/>
      <c r="E26" s="76"/>
      <c r="F26" s="76"/>
      <c r="G26" s="59" t="s">
        <v>1041</v>
      </c>
      <c r="H26" s="40">
        <v>180</v>
      </c>
      <c r="I26" s="40">
        <v>0</v>
      </c>
      <c r="J26" s="40">
        <f>H26*AO26</f>
        <v>0</v>
      </c>
      <c r="K26" s="40">
        <f>H26*AP26</f>
        <v>0</v>
      </c>
      <c r="L26" s="40">
        <f>H26*I26</f>
        <v>0</v>
      </c>
      <c r="M26" s="69" t="s">
        <v>868</v>
      </c>
      <c r="Z26" s="40">
        <f>IF(AQ26="5",BJ26,0)</f>
        <v>0</v>
      </c>
      <c r="AB26" s="40">
        <f>IF(AQ26="1",BH26,0)</f>
        <v>0</v>
      </c>
      <c r="AC26" s="40">
        <f>IF(AQ26="1",BI26,0)</f>
        <v>0</v>
      </c>
      <c r="AD26" s="40">
        <f>IF(AQ26="7",BH26,0)</f>
        <v>0</v>
      </c>
      <c r="AE26" s="40">
        <f>IF(AQ26="7",BI26,0)</f>
        <v>0</v>
      </c>
      <c r="AF26" s="40">
        <f>IF(AQ26="2",BH26,0)</f>
        <v>0</v>
      </c>
      <c r="AG26" s="40">
        <f>IF(AQ26="2",BI26,0)</f>
        <v>0</v>
      </c>
      <c r="AH26" s="40">
        <f>IF(AQ26="0",BJ26,0)</f>
        <v>0</v>
      </c>
      <c r="AI26" s="11" t="s">
        <v>1302</v>
      </c>
      <c r="AJ26" s="40">
        <f>IF(AN26=0,L26,0)</f>
        <v>0</v>
      </c>
      <c r="AK26" s="40">
        <f>IF(AN26=15,L26,0)</f>
        <v>0</v>
      </c>
      <c r="AL26" s="40">
        <f>IF(AN26=21,L26,0)</f>
        <v>0</v>
      </c>
      <c r="AN26" s="40">
        <v>21</v>
      </c>
      <c r="AO26" s="40">
        <f>I26*0.854415966212579</f>
        <v>0</v>
      </c>
      <c r="AP26" s="40">
        <f>I26*(1-0.854415966212579)</f>
        <v>0</v>
      </c>
      <c r="AQ26" s="17" t="s">
        <v>873</v>
      </c>
      <c r="AV26" s="40">
        <f>AW26+AX26</f>
        <v>0</v>
      </c>
      <c r="AW26" s="40">
        <f>H26*AO26</f>
        <v>0</v>
      </c>
      <c r="AX26" s="40">
        <f>H26*AP26</f>
        <v>0</v>
      </c>
      <c r="AY26" s="17" t="s">
        <v>1304</v>
      </c>
      <c r="AZ26" s="17" t="s">
        <v>274</v>
      </c>
      <c r="BA26" s="11" t="s">
        <v>698</v>
      </c>
      <c r="BC26" s="40">
        <f>AW26+AX26</f>
        <v>0</v>
      </c>
      <c r="BD26" s="40">
        <f>I26/(100-BE26)*100</f>
        <v>0</v>
      </c>
      <c r="BE26" s="40">
        <v>0</v>
      </c>
      <c r="BF26" s="40">
        <f>26</f>
        <v>26</v>
      </c>
      <c r="BH26" s="40">
        <f>H26*AO26</f>
        <v>0</v>
      </c>
      <c r="BI26" s="40">
        <f>H26*AP26</f>
        <v>0</v>
      </c>
      <c r="BJ26" s="40">
        <f>H26*I26</f>
        <v>0</v>
      </c>
      <c r="BK26" s="40"/>
      <c r="BL26" s="40"/>
    </row>
    <row r="27" spans="1:64" ht="15" customHeight="1">
      <c r="A27" s="19" t="s">
        <v>1009</v>
      </c>
      <c r="B27" s="59" t="s">
        <v>918</v>
      </c>
      <c r="C27" s="76" t="s">
        <v>1038</v>
      </c>
      <c r="D27" s="76"/>
      <c r="E27" s="76"/>
      <c r="F27" s="76"/>
      <c r="G27" s="59" t="s">
        <v>312</v>
      </c>
      <c r="H27" s="40">
        <v>3</v>
      </c>
      <c r="I27" s="40">
        <v>0</v>
      </c>
      <c r="J27" s="40">
        <f>H27*AO27</f>
        <v>0</v>
      </c>
      <c r="K27" s="40">
        <f>H27*AP27</f>
        <v>0</v>
      </c>
      <c r="L27" s="40">
        <f>H27*I27</f>
        <v>0</v>
      </c>
      <c r="M27" s="69" t="s">
        <v>868</v>
      </c>
      <c r="Z27" s="40">
        <f>IF(AQ27="5",BJ27,0)</f>
        <v>0</v>
      </c>
      <c r="AB27" s="40">
        <f>IF(AQ27="1",BH27,0)</f>
        <v>0</v>
      </c>
      <c r="AC27" s="40">
        <f>IF(AQ27="1",BI27,0)</f>
        <v>0</v>
      </c>
      <c r="AD27" s="40">
        <f>IF(AQ27="7",BH27,0)</f>
        <v>0</v>
      </c>
      <c r="AE27" s="40">
        <f>IF(AQ27="7",BI27,0)</f>
        <v>0</v>
      </c>
      <c r="AF27" s="40">
        <f>IF(AQ27="2",BH27,0)</f>
        <v>0</v>
      </c>
      <c r="AG27" s="40">
        <f>IF(AQ27="2",BI27,0)</f>
        <v>0</v>
      </c>
      <c r="AH27" s="40">
        <f>IF(AQ27="0",BJ27,0)</f>
        <v>0</v>
      </c>
      <c r="AI27" s="11" t="s">
        <v>1302</v>
      </c>
      <c r="AJ27" s="40">
        <f>IF(AN27=0,L27,0)</f>
        <v>0</v>
      </c>
      <c r="AK27" s="40">
        <f>IF(AN27=15,L27,0)</f>
        <v>0</v>
      </c>
      <c r="AL27" s="40">
        <f>IF(AN27=21,L27,0)</f>
        <v>0</v>
      </c>
      <c r="AN27" s="40">
        <v>21</v>
      </c>
      <c r="AO27" s="40">
        <f>I27*0</f>
        <v>0</v>
      </c>
      <c r="AP27" s="40">
        <f>I27*(1-0)</f>
        <v>0</v>
      </c>
      <c r="AQ27" s="17" t="s">
        <v>873</v>
      </c>
      <c r="AV27" s="40">
        <f>AW27+AX27</f>
        <v>0</v>
      </c>
      <c r="AW27" s="40">
        <f>H27*AO27</f>
        <v>0</v>
      </c>
      <c r="AX27" s="40">
        <f>H27*AP27</f>
        <v>0</v>
      </c>
      <c r="AY27" s="17" t="s">
        <v>1304</v>
      </c>
      <c r="AZ27" s="17" t="s">
        <v>274</v>
      </c>
      <c r="BA27" s="11" t="s">
        <v>698</v>
      </c>
      <c r="BC27" s="40">
        <f>AW27+AX27</f>
        <v>0</v>
      </c>
      <c r="BD27" s="40">
        <f>I27/(100-BE27)*100</f>
        <v>0</v>
      </c>
      <c r="BE27" s="40">
        <v>0</v>
      </c>
      <c r="BF27" s="40">
        <f>27</f>
        <v>27</v>
      </c>
      <c r="BH27" s="40">
        <f>H27*AO27</f>
        <v>0</v>
      </c>
      <c r="BI27" s="40">
        <f>H27*AP27</f>
        <v>0</v>
      </c>
      <c r="BJ27" s="40">
        <f>H27*I27</f>
        <v>0</v>
      </c>
      <c r="BK27" s="40"/>
      <c r="BL27" s="40"/>
    </row>
    <row r="28" spans="1:64" ht="15" customHeight="1">
      <c r="A28" s="19" t="s">
        <v>468</v>
      </c>
      <c r="B28" s="59" t="s">
        <v>633</v>
      </c>
      <c r="C28" s="76" t="s">
        <v>252</v>
      </c>
      <c r="D28" s="76"/>
      <c r="E28" s="76"/>
      <c r="F28" s="76"/>
      <c r="G28" s="59" t="s">
        <v>312</v>
      </c>
      <c r="H28" s="40">
        <v>3</v>
      </c>
      <c r="I28" s="40">
        <v>0</v>
      </c>
      <c r="J28" s="40">
        <f>H28*AO28</f>
        <v>0</v>
      </c>
      <c r="K28" s="40">
        <f>H28*AP28</f>
        <v>0</v>
      </c>
      <c r="L28" s="40">
        <f>H28*I28</f>
        <v>0</v>
      </c>
      <c r="M28" s="69" t="s">
        <v>868</v>
      </c>
      <c r="Z28" s="40">
        <f>IF(AQ28="5",BJ28,0)</f>
        <v>0</v>
      </c>
      <c r="AB28" s="40">
        <f>IF(AQ28="1",BH28,0)</f>
        <v>0</v>
      </c>
      <c r="AC28" s="40">
        <f>IF(AQ28="1",BI28,0)</f>
        <v>0</v>
      </c>
      <c r="AD28" s="40">
        <f>IF(AQ28="7",BH28,0)</f>
        <v>0</v>
      </c>
      <c r="AE28" s="40">
        <f>IF(AQ28="7",BI28,0)</f>
        <v>0</v>
      </c>
      <c r="AF28" s="40">
        <f>IF(AQ28="2",BH28,0)</f>
        <v>0</v>
      </c>
      <c r="AG28" s="40">
        <f>IF(AQ28="2",BI28,0)</f>
        <v>0</v>
      </c>
      <c r="AH28" s="40">
        <f>IF(AQ28="0",BJ28,0)</f>
        <v>0</v>
      </c>
      <c r="AI28" s="11" t="s">
        <v>1302</v>
      </c>
      <c r="AJ28" s="40">
        <f>IF(AN28=0,L28,0)</f>
        <v>0</v>
      </c>
      <c r="AK28" s="40">
        <f>IF(AN28=15,L28,0)</f>
        <v>0</v>
      </c>
      <c r="AL28" s="40">
        <f>IF(AN28=21,L28,0)</f>
        <v>0</v>
      </c>
      <c r="AN28" s="40">
        <v>21</v>
      </c>
      <c r="AO28" s="40">
        <f>I28*0</f>
        <v>0</v>
      </c>
      <c r="AP28" s="40">
        <f>I28*(1-0)</f>
        <v>0</v>
      </c>
      <c r="AQ28" s="17" t="s">
        <v>873</v>
      </c>
      <c r="AV28" s="40">
        <f>AW28+AX28</f>
        <v>0</v>
      </c>
      <c r="AW28" s="40">
        <f>H28*AO28</f>
        <v>0</v>
      </c>
      <c r="AX28" s="40">
        <f>H28*AP28</f>
        <v>0</v>
      </c>
      <c r="AY28" s="17" t="s">
        <v>1304</v>
      </c>
      <c r="AZ28" s="17" t="s">
        <v>274</v>
      </c>
      <c r="BA28" s="11" t="s">
        <v>698</v>
      </c>
      <c r="BC28" s="40">
        <f>AW28+AX28</f>
        <v>0</v>
      </c>
      <c r="BD28" s="40">
        <f>I28/(100-BE28)*100</f>
        <v>0</v>
      </c>
      <c r="BE28" s="40">
        <v>0</v>
      </c>
      <c r="BF28" s="40">
        <f>28</f>
        <v>28</v>
      </c>
      <c r="BH28" s="40">
        <f>H28*AO28</f>
        <v>0</v>
      </c>
      <c r="BI28" s="40">
        <f>H28*AP28</f>
        <v>0</v>
      </c>
      <c r="BJ28" s="40">
        <f>H28*I28</f>
        <v>0</v>
      </c>
      <c r="BK28" s="40"/>
      <c r="BL28" s="40"/>
    </row>
    <row r="29" spans="1:13" ht="13.5" customHeight="1">
      <c r="A29" s="67"/>
      <c r="B29" s="18" t="s">
        <v>114</v>
      </c>
      <c r="C29" s="93" t="s">
        <v>1334</v>
      </c>
      <c r="D29" s="94"/>
      <c r="E29" s="94"/>
      <c r="F29" s="94"/>
      <c r="G29" s="94"/>
      <c r="H29" s="94"/>
      <c r="I29" s="94"/>
      <c r="J29" s="94"/>
      <c r="K29" s="94"/>
      <c r="L29" s="94"/>
      <c r="M29" s="95"/>
    </row>
    <row r="30" spans="1:64" ht="15" customHeight="1">
      <c r="A30" s="19" t="s">
        <v>733</v>
      </c>
      <c r="B30" s="59" t="s">
        <v>838</v>
      </c>
      <c r="C30" s="76" t="s">
        <v>1195</v>
      </c>
      <c r="D30" s="76"/>
      <c r="E30" s="76"/>
      <c r="F30" s="76"/>
      <c r="G30" s="59" t="s">
        <v>312</v>
      </c>
      <c r="H30" s="40">
        <v>18</v>
      </c>
      <c r="I30" s="40">
        <v>0</v>
      </c>
      <c r="J30" s="40">
        <f>H30*AO30</f>
        <v>0</v>
      </c>
      <c r="K30" s="40">
        <f>H30*AP30</f>
        <v>0</v>
      </c>
      <c r="L30" s="40">
        <f>H30*I30</f>
        <v>0</v>
      </c>
      <c r="M30" s="69" t="s">
        <v>868</v>
      </c>
      <c r="Z30" s="40">
        <f>IF(AQ30="5",BJ30,0)</f>
        <v>0</v>
      </c>
      <c r="AB30" s="40">
        <f>IF(AQ30="1",BH30,0)</f>
        <v>0</v>
      </c>
      <c r="AC30" s="40">
        <f>IF(AQ30="1",BI30,0)</f>
        <v>0</v>
      </c>
      <c r="AD30" s="40">
        <f>IF(AQ30="7",BH30,0)</f>
        <v>0</v>
      </c>
      <c r="AE30" s="40">
        <f>IF(AQ30="7",BI30,0)</f>
        <v>0</v>
      </c>
      <c r="AF30" s="40">
        <f>IF(AQ30="2",BH30,0)</f>
        <v>0</v>
      </c>
      <c r="AG30" s="40">
        <f>IF(AQ30="2",BI30,0)</f>
        <v>0</v>
      </c>
      <c r="AH30" s="40">
        <f>IF(AQ30="0",BJ30,0)</f>
        <v>0</v>
      </c>
      <c r="AI30" s="11" t="s">
        <v>1302</v>
      </c>
      <c r="AJ30" s="40">
        <f>IF(AN30=0,L30,0)</f>
        <v>0</v>
      </c>
      <c r="AK30" s="40">
        <f>IF(AN30=15,L30,0)</f>
        <v>0</v>
      </c>
      <c r="AL30" s="40">
        <f>IF(AN30=21,L30,0)</f>
        <v>0</v>
      </c>
      <c r="AN30" s="40">
        <v>21</v>
      </c>
      <c r="AO30" s="40">
        <f>I30*0</f>
        <v>0</v>
      </c>
      <c r="AP30" s="40">
        <f>I30*(1-0)</f>
        <v>0</v>
      </c>
      <c r="AQ30" s="17" t="s">
        <v>873</v>
      </c>
      <c r="AV30" s="40">
        <f>AW30+AX30</f>
        <v>0</v>
      </c>
      <c r="AW30" s="40">
        <f>H30*AO30</f>
        <v>0</v>
      </c>
      <c r="AX30" s="40">
        <f>H30*AP30</f>
        <v>0</v>
      </c>
      <c r="AY30" s="17" t="s">
        <v>1304</v>
      </c>
      <c r="AZ30" s="17" t="s">
        <v>274</v>
      </c>
      <c r="BA30" s="11" t="s">
        <v>698</v>
      </c>
      <c r="BC30" s="40">
        <f>AW30+AX30</f>
        <v>0</v>
      </c>
      <c r="BD30" s="40">
        <f>I30/(100-BE30)*100</f>
        <v>0</v>
      </c>
      <c r="BE30" s="40">
        <v>0</v>
      </c>
      <c r="BF30" s="40">
        <f>30</f>
        <v>30</v>
      </c>
      <c r="BH30" s="40">
        <f>H30*AO30</f>
        <v>0</v>
      </c>
      <c r="BI30" s="40">
        <f>H30*AP30</f>
        <v>0</v>
      </c>
      <c r="BJ30" s="40">
        <f>H30*I30</f>
        <v>0</v>
      </c>
      <c r="BK30" s="40"/>
      <c r="BL30" s="40"/>
    </row>
    <row r="31" spans="1:64" ht="15" customHeight="1">
      <c r="A31" s="19" t="s">
        <v>1054</v>
      </c>
      <c r="B31" s="59" t="s">
        <v>1112</v>
      </c>
      <c r="C31" s="76" t="s">
        <v>1091</v>
      </c>
      <c r="D31" s="76"/>
      <c r="E31" s="76"/>
      <c r="F31" s="76"/>
      <c r="G31" s="59" t="s">
        <v>312</v>
      </c>
      <c r="H31" s="40">
        <v>18</v>
      </c>
      <c r="I31" s="40">
        <v>0</v>
      </c>
      <c r="J31" s="40">
        <f>H31*AO31</f>
        <v>0</v>
      </c>
      <c r="K31" s="40">
        <f>H31*AP31</f>
        <v>0</v>
      </c>
      <c r="L31" s="40">
        <f>H31*I31</f>
        <v>0</v>
      </c>
      <c r="M31" s="69" t="s">
        <v>868</v>
      </c>
      <c r="Z31" s="40">
        <f>IF(AQ31="5",BJ31,0)</f>
        <v>0</v>
      </c>
      <c r="AB31" s="40">
        <f>IF(AQ31="1",BH31,0)</f>
        <v>0</v>
      </c>
      <c r="AC31" s="40">
        <f>IF(AQ31="1",BI31,0)</f>
        <v>0</v>
      </c>
      <c r="AD31" s="40">
        <f>IF(AQ31="7",BH31,0)</f>
        <v>0</v>
      </c>
      <c r="AE31" s="40">
        <f>IF(AQ31="7",BI31,0)</f>
        <v>0</v>
      </c>
      <c r="AF31" s="40">
        <f>IF(AQ31="2",BH31,0)</f>
        <v>0</v>
      </c>
      <c r="AG31" s="40">
        <f>IF(AQ31="2",BI31,0)</f>
        <v>0</v>
      </c>
      <c r="AH31" s="40">
        <f>IF(AQ31="0",BJ31,0)</f>
        <v>0</v>
      </c>
      <c r="AI31" s="11" t="s">
        <v>1302</v>
      </c>
      <c r="AJ31" s="40">
        <f>IF(AN31=0,L31,0)</f>
        <v>0</v>
      </c>
      <c r="AK31" s="40">
        <f>IF(AN31=15,L31,0)</f>
        <v>0</v>
      </c>
      <c r="AL31" s="40">
        <f>IF(AN31=21,L31,0)</f>
        <v>0</v>
      </c>
      <c r="AN31" s="40">
        <v>21</v>
      </c>
      <c r="AO31" s="40">
        <f>I31*0</f>
        <v>0</v>
      </c>
      <c r="AP31" s="40">
        <f>I31*(1-0)</f>
        <v>0</v>
      </c>
      <c r="AQ31" s="17" t="s">
        <v>873</v>
      </c>
      <c r="AV31" s="40">
        <f>AW31+AX31</f>
        <v>0</v>
      </c>
      <c r="AW31" s="40">
        <f>H31*AO31</f>
        <v>0</v>
      </c>
      <c r="AX31" s="40">
        <f>H31*AP31</f>
        <v>0</v>
      </c>
      <c r="AY31" s="17" t="s">
        <v>1304</v>
      </c>
      <c r="AZ31" s="17" t="s">
        <v>274</v>
      </c>
      <c r="BA31" s="11" t="s">
        <v>698</v>
      </c>
      <c r="BC31" s="40">
        <f>AW31+AX31</f>
        <v>0</v>
      </c>
      <c r="BD31" s="40">
        <f>I31/(100-BE31)*100</f>
        <v>0</v>
      </c>
      <c r="BE31" s="40">
        <v>0</v>
      </c>
      <c r="BF31" s="40">
        <f>31</f>
        <v>31</v>
      </c>
      <c r="BH31" s="40">
        <f>H31*AO31</f>
        <v>0</v>
      </c>
      <c r="BI31" s="40">
        <f>H31*AP31</f>
        <v>0</v>
      </c>
      <c r="BJ31" s="40">
        <f>H31*I31</f>
        <v>0</v>
      </c>
      <c r="BK31" s="40"/>
      <c r="BL31" s="40"/>
    </row>
    <row r="32" spans="1:47" ht="15" customHeight="1">
      <c r="A32" s="24" t="s">
        <v>878</v>
      </c>
      <c r="B32" s="66" t="s">
        <v>744</v>
      </c>
      <c r="C32" s="92" t="s">
        <v>790</v>
      </c>
      <c r="D32" s="92"/>
      <c r="E32" s="92"/>
      <c r="F32" s="92"/>
      <c r="G32" s="3" t="s">
        <v>1172</v>
      </c>
      <c r="H32" s="3" t="s">
        <v>1172</v>
      </c>
      <c r="I32" s="3" t="s">
        <v>1172</v>
      </c>
      <c r="J32" s="63">
        <f>SUM(J33:J35)</f>
        <v>0</v>
      </c>
      <c r="K32" s="63">
        <f>SUM(K33:K35)</f>
        <v>0</v>
      </c>
      <c r="L32" s="63">
        <f>SUM(L33:L35)</f>
        <v>0</v>
      </c>
      <c r="M32" s="4" t="s">
        <v>878</v>
      </c>
      <c r="AI32" s="11" t="s">
        <v>1302</v>
      </c>
      <c r="AS32" s="63">
        <f>SUM(AJ33:AJ35)</f>
        <v>0</v>
      </c>
      <c r="AT32" s="63">
        <f>SUM(AK33:AK35)</f>
        <v>0</v>
      </c>
      <c r="AU32" s="63">
        <f>SUM(AL33:AL35)</f>
        <v>0</v>
      </c>
    </row>
    <row r="33" spans="1:64" ht="15" customHeight="1">
      <c r="A33" s="19" t="s">
        <v>938</v>
      </c>
      <c r="B33" s="59" t="s">
        <v>1065</v>
      </c>
      <c r="C33" s="76" t="s">
        <v>473</v>
      </c>
      <c r="D33" s="76"/>
      <c r="E33" s="76"/>
      <c r="F33" s="76"/>
      <c r="G33" s="59" t="s">
        <v>312</v>
      </c>
      <c r="H33" s="40">
        <v>18</v>
      </c>
      <c r="I33" s="40">
        <v>0</v>
      </c>
      <c r="J33" s="40">
        <f>H33*AO33</f>
        <v>0</v>
      </c>
      <c r="K33" s="40">
        <f>H33*AP33</f>
        <v>0</v>
      </c>
      <c r="L33" s="40">
        <f>H33*I33</f>
        <v>0</v>
      </c>
      <c r="M33" s="69" t="s">
        <v>868</v>
      </c>
      <c r="Z33" s="40">
        <f>IF(AQ33="5",BJ33,0)</f>
        <v>0</v>
      </c>
      <c r="AB33" s="40">
        <f>IF(AQ33="1",BH33,0)</f>
        <v>0</v>
      </c>
      <c r="AC33" s="40">
        <f>IF(AQ33="1",BI33,0)</f>
        <v>0</v>
      </c>
      <c r="AD33" s="40">
        <f>IF(AQ33="7",BH33,0)</f>
        <v>0</v>
      </c>
      <c r="AE33" s="40">
        <f>IF(AQ33="7",BI33,0)</f>
        <v>0</v>
      </c>
      <c r="AF33" s="40">
        <f>IF(AQ33="2",BH33,0)</f>
        <v>0</v>
      </c>
      <c r="AG33" s="40">
        <f>IF(AQ33="2",BI33,0)</f>
        <v>0</v>
      </c>
      <c r="AH33" s="40">
        <f>IF(AQ33="0",BJ33,0)</f>
        <v>0</v>
      </c>
      <c r="AI33" s="11" t="s">
        <v>1302</v>
      </c>
      <c r="AJ33" s="40">
        <f>IF(AN33=0,L33,0)</f>
        <v>0</v>
      </c>
      <c r="AK33" s="40">
        <f>IF(AN33=15,L33,0)</f>
        <v>0</v>
      </c>
      <c r="AL33" s="40">
        <f>IF(AN33=21,L33,0)</f>
        <v>0</v>
      </c>
      <c r="AN33" s="40">
        <v>21</v>
      </c>
      <c r="AO33" s="40">
        <f>I33*0</f>
        <v>0</v>
      </c>
      <c r="AP33" s="40">
        <f>I33*(1-0)</f>
        <v>0</v>
      </c>
      <c r="AQ33" s="17" t="s">
        <v>873</v>
      </c>
      <c r="AV33" s="40">
        <f>AW33+AX33</f>
        <v>0</v>
      </c>
      <c r="AW33" s="40">
        <f>H33*AO33</f>
        <v>0</v>
      </c>
      <c r="AX33" s="40">
        <f>H33*AP33</f>
        <v>0</v>
      </c>
      <c r="AY33" s="17" t="s">
        <v>1107</v>
      </c>
      <c r="AZ33" s="17" t="s">
        <v>274</v>
      </c>
      <c r="BA33" s="11" t="s">
        <v>698</v>
      </c>
      <c r="BC33" s="40">
        <f>AW33+AX33</f>
        <v>0</v>
      </c>
      <c r="BD33" s="40">
        <f>I33/(100-BE33)*100</f>
        <v>0</v>
      </c>
      <c r="BE33" s="40">
        <v>0</v>
      </c>
      <c r="BF33" s="40">
        <f>33</f>
        <v>33</v>
      </c>
      <c r="BH33" s="40">
        <f>H33*AO33</f>
        <v>0</v>
      </c>
      <c r="BI33" s="40">
        <f>H33*AP33</f>
        <v>0</v>
      </c>
      <c r="BJ33" s="40">
        <f>H33*I33</f>
        <v>0</v>
      </c>
      <c r="BK33" s="40"/>
      <c r="BL33" s="40"/>
    </row>
    <row r="34" spans="1:64" ht="15" customHeight="1">
      <c r="A34" s="19" t="s">
        <v>368</v>
      </c>
      <c r="B34" s="59" t="s">
        <v>44</v>
      </c>
      <c r="C34" s="76" t="s">
        <v>1105</v>
      </c>
      <c r="D34" s="76"/>
      <c r="E34" s="76"/>
      <c r="F34" s="76"/>
      <c r="G34" s="59" t="s">
        <v>1220</v>
      </c>
      <c r="H34" s="40">
        <v>105</v>
      </c>
      <c r="I34" s="40">
        <v>0</v>
      </c>
      <c r="J34" s="40">
        <f>H34*AO34</f>
        <v>0</v>
      </c>
      <c r="K34" s="40">
        <f>H34*AP34</f>
        <v>0</v>
      </c>
      <c r="L34" s="40">
        <f>H34*I34</f>
        <v>0</v>
      </c>
      <c r="M34" s="69" t="s">
        <v>868</v>
      </c>
      <c r="Z34" s="40">
        <f>IF(AQ34="5",BJ34,0)</f>
        <v>0</v>
      </c>
      <c r="AB34" s="40">
        <f>IF(AQ34="1",BH34,0)</f>
        <v>0</v>
      </c>
      <c r="AC34" s="40">
        <f>IF(AQ34="1",BI34,0)</f>
        <v>0</v>
      </c>
      <c r="AD34" s="40">
        <f>IF(AQ34="7",BH34,0)</f>
        <v>0</v>
      </c>
      <c r="AE34" s="40">
        <f>IF(AQ34="7",BI34,0)</f>
        <v>0</v>
      </c>
      <c r="AF34" s="40">
        <f>IF(AQ34="2",BH34,0)</f>
        <v>0</v>
      </c>
      <c r="AG34" s="40">
        <f>IF(AQ34="2",BI34,0)</f>
        <v>0</v>
      </c>
      <c r="AH34" s="40">
        <f>IF(AQ34="0",BJ34,0)</f>
        <v>0</v>
      </c>
      <c r="AI34" s="11" t="s">
        <v>1302</v>
      </c>
      <c r="AJ34" s="40">
        <f>IF(AN34=0,L34,0)</f>
        <v>0</v>
      </c>
      <c r="AK34" s="40">
        <f>IF(AN34=15,L34,0)</f>
        <v>0</v>
      </c>
      <c r="AL34" s="40">
        <f>IF(AN34=21,L34,0)</f>
        <v>0</v>
      </c>
      <c r="AN34" s="40">
        <v>21</v>
      </c>
      <c r="AO34" s="40">
        <f>I34*0</f>
        <v>0</v>
      </c>
      <c r="AP34" s="40">
        <f>I34*(1-0)</f>
        <v>0</v>
      </c>
      <c r="AQ34" s="17" t="s">
        <v>873</v>
      </c>
      <c r="AV34" s="40">
        <f>AW34+AX34</f>
        <v>0</v>
      </c>
      <c r="AW34" s="40">
        <f>H34*AO34</f>
        <v>0</v>
      </c>
      <c r="AX34" s="40">
        <f>H34*AP34</f>
        <v>0</v>
      </c>
      <c r="AY34" s="17" t="s">
        <v>1107</v>
      </c>
      <c r="AZ34" s="17" t="s">
        <v>274</v>
      </c>
      <c r="BA34" s="11" t="s">
        <v>698</v>
      </c>
      <c r="BC34" s="40">
        <f>AW34+AX34</f>
        <v>0</v>
      </c>
      <c r="BD34" s="40">
        <f>I34/(100-BE34)*100</f>
        <v>0</v>
      </c>
      <c r="BE34" s="40">
        <v>0</v>
      </c>
      <c r="BF34" s="40">
        <f>34</f>
        <v>34</v>
      </c>
      <c r="BH34" s="40">
        <f>H34*AO34</f>
        <v>0</v>
      </c>
      <c r="BI34" s="40">
        <f>H34*AP34</f>
        <v>0</v>
      </c>
      <c r="BJ34" s="40">
        <f>H34*I34</f>
        <v>0</v>
      </c>
      <c r="BK34" s="40"/>
      <c r="BL34" s="40"/>
    </row>
    <row r="35" spans="1:64" ht="15" customHeight="1">
      <c r="A35" s="19" t="s">
        <v>751</v>
      </c>
      <c r="B35" s="59" t="s">
        <v>959</v>
      </c>
      <c r="C35" s="76" t="s">
        <v>412</v>
      </c>
      <c r="D35" s="76"/>
      <c r="E35" s="76"/>
      <c r="F35" s="76"/>
      <c r="G35" s="59" t="s">
        <v>1041</v>
      </c>
      <c r="H35" s="40">
        <v>220</v>
      </c>
      <c r="I35" s="40">
        <v>0</v>
      </c>
      <c r="J35" s="40">
        <f>H35*AO35</f>
        <v>0</v>
      </c>
      <c r="K35" s="40">
        <f>H35*AP35</f>
        <v>0</v>
      </c>
      <c r="L35" s="40">
        <f>H35*I35</f>
        <v>0</v>
      </c>
      <c r="M35" s="69" t="s">
        <v>868</v>
      </c>
      <c r="Z35" s="40">
        <f>IF(AQ35="5",BJ35,0)</f>
        <v>0</v>
      </c>
      <c r="AB35" s="40">
        <f>IF(AQ35="1",BH35,0)</f>
        <v>0</v>
      </c>
      <c r="AC35" s="40">
        <f>IF(AQ35="1",BI35,0)</f>
        <v>0</v>
      </c>
      <c r="AD35" s="40">
        <f>IF(AQ35="7",BH35,0)</f>
        <v>0</v>
      </c>
      <c r="AE35" s="40">
        <f>IF(AQ35="7",BI35,0)</f>
        <v>0</v>
      </c>
      <c r="AF35" s="40">
        <f>IF(AQ35="2",BH35,0)</f>
        <v>0</v>
      </c>
      <c r="AG35" s="40">
        <f>IF(AQ35="2",BI35,0)</f>
        <v>0</v>
      </c>
      <c r="AH35" s="40">
        <f>IF(AQ35="0",BJ35,0)</f>
        <v>0</v>
      </c>
      <c r="AI35" s="11" t="s">
        <v>1302</v>
      </c>
      <c r="AJ35" s="40">
        <f>IF(AN35=0,L35,0)</f>
        <v>0</v>
      </c>
      <c r="AK35" s="40">
        <f>IF(AN35=15,L35,0)</f>
        <v>0</v>
      </c>
      <c r="AL35" s="40">
        <f>IF(AN35=21,L35,0)</f>
        <v>0</v>
      </c>
      <c r="AN35" s="40">
        <v>21</v>
      </c>
      <c r="AO35" s="40">
        <f>I35*0.586725663716814</f>
        <v>0</v>
      </c>
      <c r="AP35" s="40">
        <f>I35*(1-0.586725663716814)</f>
        <v>0</v>
      </c>
      <c r="AQ35" s="17" t="s">
        <v>873</v>
      </c>
      <c r="AV35" s="40">
        <f>AW35+AX35</f>
        <v>0</v>
      </c>
      <c r="AW35" s="40">
        <f>H35*AO35</f>
        <v>0</v>
      </c>
      <c r="AX35" s="40">
        <f>H35*AP35</f>
        <v>0</v>
      </c>
      <c r="AY35" s="17" t="s">
        <v>1107</v>
      </c>
      <c r="AZ35" s="17" t="s">
        <v>274</v>
      </c>
      <c r="BA35" s="11" t="s">
        <v>698</v>
      </c>
      <c r="BC35" s="40">
        <f>AW35+AX35</f>
        <v>0</v>
      </c>
      <c r="BD35" s="40">
        <f>I35/(100-BE35)*100</f>
        <v>0</v>
      </c>
      <c r="BE35" s="40">
        <v>0</v>
      </c>
      <c r="BF35" s="40">
        <f>35</f>
        <v>35</v>
      </c>
      <c r="BH35" s="40">
        <f>H35*AO35</f>
        <v>0</v>
      </c>
      <c r="BI35" s="40">
        <f>H35*AP35</f>
        <v>0</v>
      </c>
      <c r="BJ35" s="40">
        <f>H35*I35</f>
        <v>0</v>
      </c>
      <c r="BK35" s="40"/>
      <c r="BL35" s="40"/>
    </row>
    <row r="36" spans="1:47" ht="15" customHeight="1">
      <c r="A36" s="24" t="s">
        <v>878</v>
      </c>
      <c r="B36" s="66" t="s">
        <v>1119</v>
      </c>
      <c r="C36" s="92" t="s">
        <v>365</v>
      </c>
      <c r="D36" s="92"/>
      <c r="E36" s="92"/>
      <c r="F36" s="92"/>
      <c r="G36" s="3" t="s">
        <v>1172</v>
      </c>
      <c r="H36" s="3" t="s">
        <v>1172</v>
      </c>
      <c r="I36" s="3" t="s">
        <v>1172</v>
      </c>
      <c r="J36" s="63">
        <f>SUM(J37:J43)</f>
        <v>0</v>
      </c>
      <c r="K36" s="63">
        <f>SUM(K37:K43)</f>
        <v>0</v>
      </c>
      <c r="L36" s="63">
        <f>SUM(L37:L43)</f>
        <v>0</v>
      </c>
      <c r="M36" s="4" t="s">
        <v>878</v>
      </c>
      <c r="AI36" s="11" t="s">
        <v>1302</v>
      </c>
      <c r="AS36" s="63">
        <f>SUM(AJ37:AJ43)</f>
        <v>0</v>
      </c>
      <c r="AT36" s="63">
        <f>SUM(AK37:AK43)</f>
        <v>0</v>
      </c>
      <c r="AU36" s="63">
        <f>SUM(AL37:AL43)</f>
        <v>0</v>
      </c>
    </row>
    <row r="37" spans="1:64" ht="15" customHeight="1">
      <c r="A37" s="19" t="s">
        <v>484</v>
      </c>
      <c r="B37" s="59" t="s">
        <v>1393</v>
      </c>
      <c r="C37" s="76" t="s">
        <v>629</v>
      </c>
      <c r="D37" s="76"/>
      <c r="E37" s="76"/>
      <c r="F37" s="76"/>
      <c r="G37" s="59" t="s">
        <v>312</v>
      </c>
      <c r="H37" s="40">
        <v>18</v>
      </c>
      <c r="I37" s="40">
        <v>0</v>
      </c>
      <c r="J37" s="40">
        <f>H37*AO37</f>
        <v>0</v>
      </c>
      <c r="K37" s="40">
        <f>H37*AP37</f>
        <v>0</v>
      </c>
      <c r="L37" s="40">
        <f>H37*I37</f>
        <v>0</v>
      </c>
      <c r="M37" s="69" t="s">
        <v>868</v>
      </c>
      <c r="Z37" s="40">
        <f>IF(AQ37="5",BJ37,0)</f>
        <v>0</v>
      </c>
      <c r="AB37" s="40">
        <f>IF(AQ37="1",BH37,0)</f>
        <v>0</v>
      </c>
      <c r="AC37" s="40">
        <f>IF(AQ37="1",BI37,0)</f>
        <v>0</v>
      </c>
      <c r="AD37" s="40">
        <f>IF(AQ37="7",BH37,0)</f>
        <v>0</v>
      </c>
      <c r="AE37" s="40">
        <f>IF(AQ37="7",BI37,0)</f>
        <v>0</v>
      </c>
      <c r="AF37" s="40">
        <f>IF(AQ37="2",BH37,0)</f>
        <v>0</v>
      </c>
      <c r="AG37" s="40">
        <f>IF(AQ37="2",BI37,0)</f>
        <v>0</v>
      </c>
      <c r="AH37" s="40">
        <f>IF(AQ37="0",BJ37,0)</f>
        <v>0</v>
      </c>
      <c r="AI37" s="11" t="s">
        <v>1302</v>
      </c>
      <c r="AJ37" s="40">
        <f>IF(AN37=0,L37,0)</f>
        <v>0</v>
      </c>
      <c r="AK37" s="40">
        <f>IF(AN37=15,L37,0)</f>
        <v>0</v>
      </c>
      <c r="AL37" s="40">
        <f>IF(AN37=21,L37,0)</f>
        <v>0</v>
      </c>
      <c r="AN37" s="40">
        <v>21</v>
      </c>
      <c r="AO37" s="40">
        <f>I37*0</f>
        <v>0</v>
      </c>
      <c r="AP37" s="40">
        <f>I37*(1-0)</f>
        <v>0</v>
      </c>
      <c r="AQ37" s="17" t="s">
        <v>873</v>
      </c>
      <c r="AV37" s="40">
        <f>AW37+AX37</f>
        <v>0</v>
      </c>
      <c r="AW37" s="40">
        <f>H37*AO37</f>
        <v>0</v>
      </c>
      <c r="AX37" s="40">
        <f>H37*AP37</f>
        <v>0</v>
      </c>
      <c r="AY37" s="17" t="s">
        <v>1350</v>
      </c>
      <c r="AZ37" s="17" t="s">
        <v>274</v>
      </c>
      <c r="BA37" s="11" t="s">
        <v>698</v>
      </c>
      <c r="BC37" s="40">
        <f>AW37+AX37</f>
        <v>0</v>
      </c>
      <c r="BD37" s="40">
        <f>I37/(100-BE37)*100</f>
        <v>0</v>
      </c>
      <c r="BE37" s="40">
        <v>0</v>
      </c>
      <c r="BF37" s="40">
        <f>37</f>
        <v>37</v>
      </c>
      <c r="BH37" s="40">
        <f>H37*AO37</f>
        <v>0</v>
      </c>
      <c r="BI37" s="40">
        <f>H37*AP37</f>
        <v>0</v>
      </c>
      <c r="BJ37" s="40">
        <f>H37*I37</f>
        <v>0</v>
      </c>
      <c r="BK37" s="40"/>
      <c r="BL37" s="40"/>
    </row>
    <row r="38" spans="1:64" ht="15" customHeight="1">
      <c r="A38" s="19" t="s">
        <v>123</v>
      </c>
      <c r="B38" s="59" t="s">
        <v>39</v>
      </c>
      <c r="C38" s="76" t="s">
        <v>259</v>
      </c>
      <c r="D38" s="76"/>
      <c r="E38" s="76"/>
      <c r="F38" s="76"/>
      <c r="G38" s="59" t="s">
        <v>312</v>
      </c>
      <c r="H38" s="40">
        <v>18</v>
      </c>
      <c r="I38" s="40">
        <v>0</v>
      </c>
      <c r="J38" s="40">
        <f>H38*AO38</f>
        <v>0</v>
      </c>
      <c r="K38" s="40">
        <f>H38*AP38</f>
        <v>0</v>
      </c>
      <c r="L38" s="40">
        <f>H38*I38</f>
        <v>0</v>
      </c>
      <c r="M38" s="69" t="s">
        <v>868</v>
      </c>
      <c r="Z38" s="40">
        <f>IF(AQ38="5",BJ38,0)</f>
        <v>0</v>
      </c>
      <c r="AB38" s="40">
        <f>IF(AQ38="1",BH38,0)</f>
        <v>0</v>
      </c>
      <c r="AC38" s="40">
        <f>IF(AQ38="1",BI38,0)</f>
        <v>0</v>
      </c>
      <c r="AD38" s="40">
        <f>IF(AQ38="7",BH38,0)</f>
        <v>0</v>
      </c>
      <c r="AE38" s="40">
        <f>IF(AQ38="7",BI38,0)</f>
        <v>0</v>
      </c>
      <c r="AF38" s="40">
        <f>IF(AQ38="2",BH38,0)</f>
        <v>0</v>
      </c>
      <c r="AG38" s="40">
        <f>IF(AQ38="2",BI38,0)</f>
        <v>0</v>
      </c>
      <c r="AH38" s="40">
        <f>IF(AQ38="0",BJ38,0)</f>
        <v>0</v>
      </c>
      <c r="AI38" s="11" t="s">
        <v>1302</v>
      </c>
      <c r="AJ38" s="40">
        <f>IF(AN38=0,L38,0)</f>
        <v>0</v>
      </c>
      <c r="AK38" s="40">
        <f>IF(AN38=15,L38,0)</f>
        <v>0</v>
      </c>
      <c r="AL38" s="40">
        <f>IF(AN38=21,L38,0)</f>
        <v>0</v>
      </c>
      <c r="AN38" s="40">
        <v>21</v>
      </c>
      <c r="AO38" s="40">
        <f>I38*0</f>
        <v>0</v>
      </c>
      <c r="AP38" s="40">
        <f>I38*(1-0)</f>
        <v>0</v>
      </c>
      <c r="AQ38" s="17" t="s">
        <v>873</v>
      </c>
      <c r="AV38" s="40">
        <f>AW38+AX38</f>
        <v>0</v>
      </c>
      <c r="AW38" s="40">
        <f>H38*AO38</f>
        <v>0</v>
      </c>
      <c r="AX38" s="40">
        <f>H38*AP38</f>
        <v>0</v>
      </c>
      <c r="AY38" s="17" t="s">
        <v>1350</v>
      </c>
      <c r="AZ38" s="17" t="s">
        <v>274</v>
      </c>
      <c r="BA38" s="11" t="s">
        <v>698</v>
      </c>
      <c r="BC38" s="40">
        <f>AW38+AX38</f>
        <v>0</v>
      </c>
      <c r="BD38" s="40">
        <f>I38/(100-BE38)*100</f>
        <v>0</v>
      </c>
      <c r="BE38" s="40">
        <v>0</v>
      </c>
      <c r="BF38" s="40">
        <f>38</f>
        <v>38</v>
      </c>
      <c r="BH38" s="40">
        <f>H38*AO38</f>
        <v>0</v>
      </c>
      <c r="BI38" s="40">
        <f>H38*AP38</f>
        <v>0</v>
      </c>
      <c r="BJ38" s="40">
        <f>H38*I38</f>
        <v>0</v>
      </c>
      <c r="BK38" s="40"/>
      <c r="BL38" s="40"/>
    </row>
    <row r="39" spans="1:64" ht="15" customHeight="1">
      <c r="A39" s="19" t="s">
        <v>885</v>
      </c>
      <c r="B39" s="59" t="s">
        <v>939</v>
      </c>
      <c r="C39" s="76" t="s">
        <v>1073</v>
      </c>
      <c r="D39" s="76"/>
      <c r="E39" s="76"/>
      <c r="F39" s="76"/>
      <c r="G39" s="59" t="s">
        <v>312</v>
      </c>
      <c r="H39" s="40">
        <v>18</v>
      </c>
      <c r="I39" s="40">
        <v>0</v>
      </c>
      <c r="J39" s="40">
        <f>H39*AO39</f>
        <v>0</v>
      </c>
      <c r="K39" s="40">
        <f>H39*AP39</f>
        <v>0</v>
      </c>
      <c r="L39" s="40">
        <f>H39*I39</f>
        <v>0</v>
      </c>
      <c r="M39" s="69" t="s">
        <v>868</v>
      </c>
      <c r="Z39" s="40">
        <f>IF(AQ39="5",BJ39,0)</f>
        <v>0</v>
      </c>
      <c r="AB39" s="40">
        <f>IF(AQ39="1",BH39,0)</f>
        <v>0</v>
      </c>
      <c r="AC39" s="40">
        <f>IF(AQ39="1",BI39,0)</f>
        <v>0</v>
      </c>
      <c r="AD39" s="40">
        <f>IF(AQ39="7",BH39,0)</f>
        <v>0</v>
      </c>
      <c r="AE39" s="40">
        <f>IF(AQ39="7",BI39,0)</f>
        <v>0</v>
      </c>
      <c r="AF39" s="40">
        <f>IF(AQ39="2",BH39,0)</f>
        <v>0</v>
      </c>
      <c r="AG39" s="40">
        <f>IF(AQ39="2",BI39,0)</f>
        <v>0</v>
      </c>
      <c r="AH39" s="40">
        <f>IF(AQ39="0",BJ39,0)</f>
        <v>0</v>
      </c>
      <c r="AI39" s="11" t="s">
        <v>1302</v>
      </c>
      <c r="AJ39" s="40">
        <f>IF(AN39=0,L39,0)</f>
        <v>0</v>
      </c>
      <c r="AK39" s="40">
        <f>IF(AN39=15,L39,0)</f>
        <v>0</v>
      </c>
      <c r="AL39" s="40">
        <f>IF(AN39=21,L39,0)</f>
        <v>0</v>
      </c>
      <c r="AN39" s="40">
        <v>21</v>
      </c>
      <c r="AO39" s="40">
        <f>I39*0</f>
        <v>0</v>
      </c>
      <c r="AP39" s="40">
        <f>I39*(1-0)</f>
        <v>0</v>
      </c>
      <c r="AQ39" s="17" t="s">
        <v>873</v>
      </c>
      <c r="AV39" s="40">
        <f>AW39+AX39</f>
        <v>0</v>
      </c>
      <c r="AW39" s="40">
        <f>H39*AO39</f>
        <v>0</v>
      </c>
      <c r="AX39" s="40">
        <f>H39*AP39</f>
        <v>0</v>
      </c>
      <c r="AY39" s="17" t="s">
        <v>1350</v>
      </c>
      <c r="AZ39" s="17" t="s">
        <v>274</v>
      </c>
      <c r="BA39" s="11" t="s">
        <v>698</v>
      </c>
      <c r="BC39" s="40">
        <f>AW39+AX39</f>
        <v>0</v>
      </c>
      <c r="BD39" s="40">
        <f>I39/(100-BE39)*100</f>
        <v>0</v>
      </c>
      <c r="BE39" s="40">
        <v>0</v>
      </c>
      <c r="BF39" s="40">
        <f>39</f>
        <v>39</v>
      </c>
      <c r="BH39" s="40">
        <f>H39*AO39</f>
        <v>0</v>
      </c>
      <c r="BI39" s="40">
        <f>H39*AP39</f>
        <v>0</v>
      </c>
      <c r="BJ39" s="40">
        <f>H39*I39</f>
        <v>0</v>
      </c>
      <c r="BK39" s="40"/>
      <c r="BL39" s="40"/>
    </row>
    <row r="40" spans="1:13" ht="13.5" customHeight="1">
      <c r="A40" s="67"/>
      <c r="B40" s="18" t="s">
        <v>114</v>
      </c>
      <c r="C40" s="93" t="s">
        <v>1145</v>
      </c>
      <c r="D40" s="94"/>
      <c r="E40" s="94"/>
      <c r="F40" s="94"/>
      <c r="G40" s="94"/>
      <c r="H40" s="94"/>
      <c r="I40" s="94"/>
      <c r="J40" s="94"/>
      <c r="K40" s="94"/>
      <c r="L40" s="94"/>
      <c r="M40" s="95"/>
    </row>
    <row r="41" spans="1:64" ht="15" customHeight="1">
      <c r="A41" s="19" t="s">
        <v>1015</v>
      </c>
      <c r="B41" s="59" t="s">
        <v>22</v>
      </c>
      <c r="C41" s="76" t="s">
        <v>775</v>
      </c>
      <c r="D41" s="76"/>
      <c r="E41" s="76"/>
      <c r="F41" s="76"/>
      <c r="G41" s="59" t="s">
        <v>312</v>
      </c>
      <c r="H41" s="40">
        <v>18</v>
      </c>
      <c r="I41" s="40">
        <v>0</v>
      </c>
      <c r="J41" s="40">
        <f>H41*AO41</f>
        <v>0</v>
      </c>
      <c r="K41" s="40">
        <f>H41*AP41</f>
        <v>0</v>
      </c>
      <c r="L41" s="40">
        <f>H41*I41</f>
        <v>0</v>
      </c>
      <c r="M41" s="69" t="s">
        <v>868</v>
      </c>
      <c r="Z41" s="40">
        <f>IF(AQ41="5",BJ41,0)</f>
        <v>0</v>
      </c>
      <c r="AB41" s="40">
        <f>IF(AQ41="1",BH41,0)</f>
        <v>0</v>
      </c>
      <c r="AC41" s="40">
        <f>IF(AQ41="1",BI41,0)</f>
        <v>0</v>
      </c>
      <c r="AD41" s="40">
        <f>IF(AQ41="7",BH41,0)</f>
        <v>0</v>
      </c>
      <c r="AE41" s="40">
        <f>IF(AQ41="7",BI41,0)</f>
        <v>0</v>
      </c>
      <c r="AF41" s="40">
        <f>IF(AQ41="2",BH41,0)</f>
        <v>0</v>
      </c>
      <c r="AG41" s="40">
        <f>IF(AQ41="2",BI41,0)</f>
        <v>0</v>
      </c>
      <c r="AH41" s="40">
        <f>IF(AQ41="0",BJ41,0)</f>
        <v>0</v>
      </c>
      <c r="AI41" s="11" t="s">
        <v>1302</v>
      </c>
      <c r="AJ41" s="40">
        <f>IF(AN41=0,L41,0)</f>
        <v>0</v>
      </c>
      <c r="AK41" s="40">
        <f>IF(AN41=15,L41,0)</f>
        <v>0</v>
      </c>
      <c r="AL41" s="40">
        <f>IF(AN41=21,L41,0)</f>
        <v>0</v>
      </c>
      <c r="AN41" s="40">
        <v>21</v>
      </c>
      <c r="AO41" s="40">
        <f>I41*0</f>
        <v>0</v>
      </c>
      <c r="AP41" s="40">
        <f>I41*(1-0)</f>
        <v>0</v>
      </c>
      <c r="AQ41" s="17" t="s">
        <v>873</v>
      </c>
      <c r="AV41" s="40">
        <f>AW41+AX41</f>
        <v>0</v>
      </c>
      <c r="AW41" s="40">
        <f>H41*AO41</f>
        <v>0</v>
      </c>
      <c r="AX41" s="40">
        <f>H41*AP41</f>
        <v>0</v>
      </c>
      <c r="AY41" s="17" t="s">
        <v>1350</v>
      </c>
      <c r="AZ41" s="17" t="s">
        <v>274</v>
      </c>
      <c r="BA41" s="11" t="s">
        <v>698</v>
      </c>
      <c r="BC41" s="40">
        <f>AW41+AX41</f>
        <v>0</v>
      </c>
      <c r="BD41" s="40">
        <f>I41/(100-BE41)*100</f>
        <v>0</v>
      </c>
      <c r="BE41" s="40">
        <v>0</v>
      </c>
      <c r="BF41" s="40">
        <f>41</f>
        <v>41</v>
      </c>
      <c r="BH41" s="40">
        <f>H41*AO41</f>
        <v>0</v>
      </c>
      <c r="BI41" s="40">
        <f>H41*AP41</f>
        <v>0</v>
      </c>
      <c r="BJ41" s="40">
        <f>H41*I41</f>
        <v>0</v>
      </c>
      <c r="BK41" s="40"/>
      <c r="BL41" s="40"/>
    </row>
    <row r="42" spans="1:64" ht="15" customHeight="1">
      <c r="A42" s="19" t="s">
        <v>807</v>
      </c>
      <c r="B42" s="59" t="s">
        <v>1116</v>
      </c>
      <c r="C42" s="76" t="s">
        <v>904</v>
      </c>
      <c r="D42" s="76"/>
      <c r="E42" s="76"/>
      <c r="F42" s="76"/>
      <c r="G42" s="59" t="s">
        <v>312</v>
      </c>
      <c r="H42" s="40">
        <v>4</v>
      </c>
      <c r="I42" s="40">
        <v>0</v>
      </c>
      <c r="J42" s="40">
        <f>H42*AO42</f>
        <v>0</v>
      </c>
      <c r="K42" s="40">
        <f>H42*AP42</f>
        <v>0</v>
      </c>
      <c r="L42" s="40">
        <f>H42*I42</f>
        <v>0</v>
      </c>
      <c r="M42" s="69" t="s">
        <v>868</v>
      </c>
      <c r="Z42" s="40">
        <f>IF(AQ42="5",BJ42,0)</f>
        <v>0</v>
      </c>
      <c r="AB42" s="40">
        <f>IF(AQ42="1",BH42,0)</f>
        <v>0</v>
      </c>
      <c r="AC42" s="40">
        <f>IF(AQ42="1",BI42,0)</f>
        <v>0</v>
      </c>
      <c r="AD42" s="40">
        <f>IF(AQ42="7",BH42,0)</f>
        <v>0</v>
      </c>
      <c r="AE42" s="40">
        <f>IF(AQ42="7",BI42,0)</f>
        <v>0</v>
      </c>
      <c r="AF42" s="40">
        <f>IF(AQ42="2",BH42,0)</f>
        <v>0</v>
      </c>
      <c r="AG42" s="40">
        <f>IF(AQ42="2",BI42,0)</f>
        <v>0</v>
      </c>
      <c r="AH42" s="40">
        <f>IF(AQ42="0",BJ42,0)</f>
        <v>0</v>
      </c>
      <c r="AI42" s="11" t="s">
        <v>1302</v>
      </c>
      <c r="AJ42" s="40">
        <f>IF(AN42=0,L42,0)</f>
        <v>0</v>
      </c>
      <c r="AK42" s="40">
        <f>IF(AN42=15,L42,0)</f>
        <v>0</v>
      </c>
      <c r="AL42" s="40">
        <f>IF(AN42=21,L42,0)</f>
        <v>0</v>
      </c>
      <c r="AN42" s="40">
        <v>21</v>
      </c>
      <c r="AO42" s="40">
        <f>I42*0</f>
        <v>0</v>
      </c>
      <c r="AP42" s="40">
        <f>I42*(1-0)</f>
        <v>0</v>
      </c>
      <c r="AQ42" s="17" t="s">
        <v>873</v>
      </c>
      <c r="AV42" s="40">
        <f>AW42+AX42</f>
        <v>0</v>
      </c>
      <c r="AW42" s="40">
        <f>H42*AO42</f>
        <v>0</v>
      </c>
      <c r="AX42" s="40">
        <f>H42*AP42</f>
        <v>0</v>
      </c>
      <c r="AY42" s="17" t="s">
        <v>1350</v>
      </c>
      <c r="AZ42" s="17" t="s">
        <v>274</v>
      </c>
      <c r="BA42" s="11" t="s">
        <v>698</v>
      </c>
      <c r="BC42" s="40">
        <f>AW42+AX42</f>
        <v>0</v>
      </c>
      <c r="BD42" s="40">
        <f>I42/(100-BE42)*100</f>
        <v>0</v>
      </c>
      <c r="BE42" s="40">
        <v>0</v>
      </c>
      <c r="BF42" s="40">
        <f>42</f>
        <v>42</v>
      </c>
      <c r="BH42" s="40">
        <f>H42*AO42</f>
        <v>0</v>
      </c>
      <c r="BI42" s="40">
        <f>H42*AP42</f>
        <v>0</v>
      </c>
      <c r="BJ42" s="40">
        <f>H42*I42</f>
        <v>0</v>
      </c>
      <c r="BK42" s="40"/>
      <c r="BL42" s="40"/>
    </row>
    <row r="43" spans="1:64" ht="15" customHeight="1">
      <c r="A43" s="19" t="s">
        <v>66</v>
      </c>
      <c r="B43" s="59" t="s">
        <v>1221</v>
      </c>
      <c r="C43" s="76" t="s">
        <v>1349</v>
      </c>
      <c r="D43" s="76"/>
      <c r="E43" s="76"/>
      <c r="F43" s="76"/>
      <c r="G43" s="59" t="s">
        <v>1041</v>
      </c>
      <c r="H43" s="40">
        <v>180</v>
      </c>
      <c r="I43" s="40">
        <v>0</v>
      </c>
      <c r="J43" s="40">
        <f>H43*AO43</f>
        <v>0</v>
      </c>
      <c r="K43" s="40">
        <f>H43*AP43</f>
        <v>0</v>
      </c>
      <c r="L43" s="40">
        <f>H43*I43</f>
        <v>0</v>
      </c>
      <c r="M43" s="69" t="s">
        <v>868</v>
      </c>
      <c r="Z43" s="40">
        <f>IF(AQ43="5",BJ43,0)</f>
        <v>0</v>
      </c>
      <c r="AB43" s="40">
        <f>IF(AQ43="1",BH43,0)</f>
        <v>0</v>
      </c>
      <c r="AC43" s="40">
        <f>IF(AQ43="1",BI43,0)</f>
        <v>0</v>
      </c>
      <c r="AD43" s="40">
        <f>IF(AQ43="7",BH43,0)</f>
        <v>0</v>
      </c>
      <c r="AE43" s="40">
        <f>IF(AQ43="7",BI43,0)</f>
        <v>0</v>
      </c>
      <c r="AF43" s="40">
        <f>IF(AQ43="2",BH43,0)</f>
        <v>0</v>
      </c>
      <c r="AG43" s="40">
        <f>IF(AQ43="2",BI43,0)</f>
        <v>0</v>
      </c>
      <c r="AH43" s="40">
        <f>IF(AQ43="0",BJ43,0)</f>
        <v>0</v>
      </c>
      <c r="AI43" s="11" t="s">
        <v>1302</v>
      </c>
      <c r="AJ43" s="40">
        <f>IF(AN43=0,L43,0)</f>
        <v>0</v>
      </c>
      <c r="AK43" s="40">
        <f>IF(AN43=15,L43,0)</f>
        <v>0</v>
      </c>
      <c r="AL43" s="40">
        <f>IF(AN43=21,L43,0)</f>
        <v>0</v>
      </c>
      <c r="AN43" s="40">
        <v>21</v>
      </c>
      <c r="AO43" s="40">
        <f>I43*0</f>
        <v>0</v>
      </c>
      <c r="AP43" s="40">
        <f>I43*(1-0)</f>
        <v>0</v>
      </c>
      <c r="AQ43" s="17" t="s">
        <v>873</v>
      </c>
      <c r="AV43" s="40">
        <f>AW43+AX43</f>
        <v>0</v>
      </c>
      <c r="AW43" s="40">
        <f>H43*AO43</f>
        <v>0</v>
      </c>
      <c r="AX43" s="40">
        <f>H43*AP43</f>
        <v>0</v>
      </c>
      <c r="AY43" s="17" t="s">
        <v>1350</v>
      </c>
      <c r="AZ43" s="17" t="s">
        <v>274</v>
      </c>
      <c r="BA43" s="11" t="s">
        <v>698</v>
      </c>
      <c r="BC43" s="40">
        <f>AW43+AX43</f>
        <v>0</v>
      </c>
      <c r="BD43" s="40">
        <f>I43/(100-BE43)*100</f>
        <v>0</v>
      </c>
      <c r="BE43" s="40">
        <v>0</v>
      </c>
      <c r="BF43" s="40">
        <f>43</f>
        <v>43</v>
      </c>
      <c r="BH43" s="40">
        <f>H43*AO43</f>
        <v>0</v>
      </c>
      <c r="BI43" s="40">
        <f>H43*AP43</f>
        <v>0</v>
      </c>
      <c r="BJ43" s="40">
        <f>H43*I43</f>
        <v>0</v>
      </c>
      <c r="BK43" s="40"/>
      <c r="BL43" s="40"/>
    </row>
    <row r="44" spans="1:47" ht="15" customHeight="1">
      <c r="A44" s="24" t="s">
        <v>878</v>
      </c>
      <c r="B44" s="66" t="s">
        <v>878</v>
      </c>
      <c r="C44" s="92" t="s">
        <v>95</v>
      </c>
      <c r="D44" s="92"/>
      <c r="E44" s="92"/>
      <c r="F44" s="92"/>
      <c r="G44" s="3" t="s">
        <v>1172</v>
      </c>
      <c r="H44" s="3" t="s">
        <v>1172</v>
      </c>
      <c r="I44" s="3" t="s">
        <v>1172</v>
      </c>
      <c r="J44" s="63">
        <f>SUM(J45:J54)</f>
        <v>0</v>
      </c>
      <c r="K44" s="63">
        <f>SUM(K45:K54)</f>
        <v>0</v>
      </c>
      <c r="L44" s="63">
        <f>SUM(L45:L54)</f>
        <v>0</v>
      </c>
      <c r="M44" s="4" t="s">
        <v>878</v>
      </c>
      <c r="AI44" s="11" t="s">
        <v>1302</v>
      </c>
      <c r="AS44" s="63">
        <f>SUM(AJ45:AJ54)</f>
        <v>0</v>
      </c>
      <c r="AT44" s="63">
        <f>SUM(AK45:AK54)</f>
        <v>0</v>
      </c>
      <c r="AU44" s="63">
        <f>SUM(AL45:AL54)</f>
        <v>0</v>
      </c>
    </row>
    <row r="45" spans="1:64" ht="15" customHeight="1">
      <c r="A45" s="19" t="s">
        <v>897</v>
      </c>
      <c r="B45" s="59" t="s">
        <v>332</v>
      </c>
      <c r="C45" s="76" t="s">
        <v>32</v>
      </c>
      <c r="D45" s="76"/>
      <c r="E45" s="76"/>
      <c r="F45" s="76"/>
      <c r="G45" s="59" t="s">
        <v>312</v>
      </c>
      <c r="H45" s="40">
        <v>3</v>
      </c>
      <c r="I45" s="40">
        <v>0</v>
      </c>
      <c r="J45" s="40">
        <f>H45*AO45</f>
        <v>0</v>
      </c>
      <c r="K45" s="40">
        <f>H45*AP45</f>
        <v>0</v>
      </c>
      <c r="L45" s="40">
        <f>H45*I45</f>
        <v>0</v>
      </c>
      <c r="M45" s="69" t="s">
        <v>868</v>
      </c>
      <c r="Z45" s="40">
        <f>IF(AQ45="5",BJ45,0)</f>
        <v>0</v>
      </c>
      <c r="AB45" s="40">
        <f>IF(AQ45="1",BH45,0)</f>
        <v>0</v>
      </c>
      <c r="AC45" s="40">
        <f>IF(AQ45="1",BI45,0)</f>
        <v>0</v>
      </c>
      <c r="AD45" s="40">
        <f>IF(AQ45="7",BH45,0)</f>
        <v>0</v>
      </c>
      <c r="AE45" s="40">
        <f>IF(AQ45="7",BI45,0)</f>
        <v>0</v>
      </c>
      <c r="AF45" s="40">
        <f>IF(AQ45="2",BH45,0)</f>
        <v>0</v>
      </c>
      <c r="AG45" s="40">
        <f>IF(AQ45="2",BI45,0)</f>
        <v>0</v>
      </c>
      <c r="AH45" s="40">
        <f>IF(AQ45="0",BJ45,0)</f>
        <v>0</v>
      </c>
      <c r="AI45" s="11" t="s">
        <v>1302</v>
      </c>
      <c r="AJ45" s="40">
        <f>IF(AN45=0,L45,0)</f>
        <v>0</v>
      </c>
      <c r="AK45" s="40">
        <f>IF(AN45=15,L45,0)</f>
        <v>0</v>
      </c>
      <c r="AL45" s="40">
        <f>IF(AN45=21,L45,0)</f>
        <v>0</v>
      </c>
      <c r="AN45" s="40">
        <v>21</v>
      </c>
      <c r="AO45" s="40">
        <f>I45*1</f>
        <v>0</v>
      </c>
      <c r="AP45" s="40">
        <f>I45*(1-1)</f>
        <v>0</v>
      </c>
      <c r="AQ45" s="17" t="s">
        <v>658</v>
      </c>
      <c r="AV45" s="40">
        <f>AW45+AX45</f>
        <v>0</v>
      </c>
      <c r="AW45" s="40">
        <f>H45*AO45</f>
        <v>0</v>
      </c>
      <c r="AX45" s="40">
        <f>H45*AP45</f>
        <v>0</v>
      </c>
      <c r="AY45" s="17" t="s">
        <v>268</v>
      </c>
      <c r="AZ45" s="17" t="s">
        <v>542</v>
      </c>
      <c r="BA45" s="11" t="s">
        <v>698</v>
      </c>
      <c r="BC45" s="40">
        <f>AW45+AX45</f>
        <v>0</v>
      </c>
      <c r="BD45" s="40">
        <f>I45/(100-BE45)*100</f>
        <v>0</v>
      </c>
      <c r="BE45" s="40">
        <v>0</v>
      </c>
      <c r="BF45" s="40">
        <f>45</f>
        <v>45</v>
      </c>
      <c r="BH45" s="40">
        <f>H45*AO45</f>
        <v>0</v>
      </c>
      <c r="BI45" s="40">
        <f>H45*AP45</f>
        <v>0</v>
      </c>
      <c r="BJ45" s="40">
        <f>H45*I45</f>
        <v>0</v>
      </c>
      <c r="BK45" s="40"/>
      <c r="BL45" s="40"/>
    </row>
    <row r="46" spans="1:13" ht="94.5" customHeight="1">
      <c r="A46" s="67"/>
      <c r="B46" s="18" t="s">
        <v>452</v>
      </c>
      <c r="C46" s="93" t="s">
        <v>610</v>
      </c>
      <c r="D46" s="94"/>
      <c r="E46" s="94"/>
      <c r="F46" s="94"/>
      <c r="G46" s="94"/>
      <c r="H46" s="94"/>
      <c r="I46" s="94"/>
      <c r="J46" s="94"/>
      <c r="K46" s="94"/>
      <c r="L46" s="94"/>
      <c r="M46" s="95"/>
    </row>
    <row r="47" spans="1:13" ht="135" customHeight="1">
      <c r="A47" s="67"/>
      <c r="B47" s="18" t="s">
        <v>114</v>
      </c>
      <c r="C47" s="93" t="s">
        <v>1102</v>
      </c>
      <c r="D47" s="94"/>
      <c r="E47" s="94"/>
      <c r="F47" s="94"/>
      <c r="G47" s="94"/>
      <c r="H47" s="94"/>
      <c r="I47" s="94"/>
      <c r="J47" s="94"/>
      <c r="K47" s="94"/>
      <c r="L47" s="94"/>
      <c r="M47" s="95"/>
    </row>
    <row r="48" spans="1:64" ht="15" customHeight="1">
      <c r="A48" s="19" t="s">
        <v>1211</v>
      </c>
      <c r="B48" s="59" t="s">
        <v>209</v>
      </c>
      <c r="C48" s="76" t="s">
        <v>514</v>
      </c>
      <c r="D48" s="76"/>
      <c r="E48" s="76"/>
      <c r="F48" s="76"/>
      <c r="G48" s="59" t="s">
        <v>1197</v>
      </c>
      <c r="H48" s="40">
        <v>51</v>
      </c>
      <c r="I48" s="40">
        <v>0</v>
      </c>
      <c r="J48" s="40">
        <f>H48*AO48</f>
        <v>0</v>
      </c>
      <c r="K48" s="40">
        <f>H48*AP48</f>
        <v>0</v>
      </c>
      <c r="L48" s="40">
        <f>H48*I48</f>
        <v>0</v>
      </c>
      <c r="M48" s="69" t="s">
        <v>868</v>
      </c>
      <c r="Z48" s="40">
        <f>IF(AQ48="5",BJ48,0)</f>
        <v>0</v>
      </c>
      <c r="AB48" s="40">
        <f>IF(AQ48="1",BH48,0)</f>
        <v>0</v>
      </c>
      <c r="AC48" s="40">
        <f>IF(AQ48="1",BI48,0)</f>
        <v>0</v>
      </c>
      <c r="AD48" s="40">
        <f>IF(AQ48="7",BH48,0)</f>
        <v>0</v>
      </c>
      <c r="AE48" s="40">
        <f>IF(AQ48="7",BI48,0)</f>
        <v>0</v>
      </c>
      <c r="AF48" s="40">
        <f>IF(AQ48="2",BH48,0)</f>
        <v>0</v>
      </c>
      <c r="AG48" s="40">
        <f>IF(AQ48="2",BI48,0)</f>
        <v>0</v>
      </c>
      <c r="AH48" s="40">
        <f>IF(AQ48="0",BJ48,0)</f>
        <v>0</v>
      </c>
      <c r="AI48" s="11" t="s">
        <v>1302</v>
      </c>
      <c r="AJ48" s="40">
        <f>IF(AN48=0,L48,0)</f>
        <v>0</v>
      </c>
      <c r="AK48" s="40">
        <f>IF(AN48=15,L48,0)</f>
        <v>0</v>
      </c>
      <c r="AL48" s="40">
        <f>IF(AN48=21,L48,0)</f>
        <v>0</v>
      </c>
      <c r="AN48" s="40">
        <v>21</v>
      </c>
      <c r="AO48" s="40">
        <f>I48*1</f>
        <v>0</v>
      </c>
      <c r="AP48" s="40">
        <f>I48*(1-1)</f>
        <v>0</v>
      </c>
      <c r="AQ48" s="17" t="s">
        <v>658</v>
      </c>
      <c r="AV48" s="40">
        <f>AW48+AX48</f>
        <v>0</v>
      </c>
      <c r="AW48" s="40">
        <f>H48*AO48</f>
        <v>0</v>
      </c>
      <c r="AX48" s="40">
        <f>H48*AP48</f>
        <v>0</v>
      </c>
      <c r="AY48" s="17" t="s">
        <v>268</v>
      </c>
      <c r="AZ48" s="17" t="s">
        <v>542</v>
      </c>
      <c r="BA48" s="11" t="s">
        <v>698</v>
      </c>
      <c r="BC48" s="40">
        <f>AW48+AX48</f>
        <v>0</v>
      </c>
      <c r="BD48" s="40">
        <f>I48/(100-BE48)*100</f>
        <v>0</v>
      </c>
      <c r="BE48" s="40">
        <v>0</v>
      </c>
      <c r="BF48" s="40">
        <f>48</f>
        <v>48</v>
      </c>
      <c r="BH48" s="40">
        <f>H48*AO48</f>
        <v>0</v>
      </c>
      <c r="BI48" s="40">
        <f>H48*AP48</f>
        <v>0</v>
      </c>
      <c r="BJ48" s="40">
        <f>H48*I48</f>
        <v>0</v>
      </c>
      <c r="BK48" s="40"/>
      <c r="BL48" s="40"/>
    </row>
    <row r="49" spans="1:13" ht="13.5" customHeight="1">
      <c r="A49" s="67"/>
      <c r="B49" s="18" t="s">
        <v>452</v>
      </c>
      <c r="C49" s="93" t="s">
        <v>10</v>
      </c>
      <c r="D49" s="94"/>
      <c r="E49" s="94"/>
      <c r="F49" s="94"/>
      <c r="G49" s="94"/>
      <c r="H49" s="94"/>
      <c r="I49" s="94"/>
      <c r="J49" s="94"/>
      <c r="K49" s="94"/>
      <c r="L49" s="94"/>
      <c r="M49" s="95"/>
    </row>
    <row r="50" spans="1:64" ht="15" customHeight="1">
      <c r="A50" s="19" t="s">
        <v>548</v>
      </c>
      <c r="B50" s="59" t="s">
        <v>720</v>
      </c>
      <c r="C50" s="76" t="s">
        <v>535</v>
      </c>
      <c r="D50" s="76"/>
      <c r="E50" s="76"/>
      <c r="F50" s="76"/>
      <c r="G50" s="59" t="s">
        <v>1220</v>
      </c>
      <c r="H50" s="40">
        <v>12</v>
      </c>
      <c r="I50" s="40">
        <v>0</v>
      </c>
      <c r="J50" s="40">
        <f>H50*AO50</f>
        <v>0</v>
      </c>
      <c r="K50" s="40">
        <f>H50*AP50</f>
        <v>0</v>
      </c>
      <c r="L50" s="40">
        <f>H50*I50</f>
        <v>0</v>
      </c>
      <c r="M50" s="69" t="s">
        <v>868</v>
      </c>
      <c r="Z50" s="40">
        <f>IF(AQ50="5",BJ50,0)</f>
        <v>0</v>
      </c>
      <c r="AB50" s="40">
        <f>IF(AQ50="1",BH50,0)</f>
        <v>0</v>
      </c>
      <c r="AC50" s="40">
        <f>IF(AQ50="1",BI50,0)</f>
        <v>0</v>
      </c>
      <c r="AD50" s="40">
        <f>IF(AQ50="7",BH50,0)</f>
        <v>0</v>
      </c>
      <c r="AE50" s="40">
        <f>IF(AQ50="7",BI50,0)</f>
        <v>0</v>
      </c>
      <c r="AF50" s="40">
        <f>IF(AQ50="2",BH50,0)</f>
        <v>0</v>
      </c>
      <c r="AG50" s="40">
        <f>IF(AQ50="2",BI50,0)</f>
        <v>0</v>
      </c>
      <c r="AH50" s="40">
        <f>IF(AQ50="0",BJ50,0)</f>
        <v>0</v>
      </c>
      <c r="AI50" s="11" t="s">
        <v>1302</v>
      </c>
      <c r="AJ50" s="40">
        <f>IF(AN50=0,L50,0)</f>
        <v>0</v>
      </c>
      <c r="AK50" s="40">
        <f>IF(AN50=15,L50,0)</f>
        <v>0</v>
      </c>
      <c r="AL50" s="40">
        <f>IF(AN50=21,L50,0)</f>
        <v>0</v>
      </c>
      <c r="AN50" s="40">
        <v>21</v>
      </c>
      <c r="AO50" s="40">
        <f>I50*1</f>
        <v>0</v>
      </c>
      <c r="AP50" s="40">
        <f>I50*(1-1)</f>
        <v>0</v>
      </c>
      <c r="AQ50" s="17" t="s">
        <v>658</v>
      </c>
      <c r="AV50" s="40">
        <f>AW50+AX50</f>
        <v>0</v>
      </c>
      <c r="AW50" s="40">
        <f>H50*AO50</f>
        <v>0</v>
      </c>
      <c r="AX50" s="40">
        <f>H50*AP50</f>
        <v>0</v>
      </c>
      <c r="AY50" s="17" t="s">
        <v>268</v>
      </c>
      <c r="AZ50" s="17" t="s">
        <v>542</v>
      </c>
      <c r="BA50" s="11" t="s">
        <v>698</v>
      </c>
      <c r="BC50" s="40">
        <f>AW50+AX50</f>
        <v>0</v>
      </c>
      <c r="BD50" s="40">
        <f>I50/(100-BE50)*100</f>
        <v>0</v>
      </c>
      <c r="BE50" s="40">
        <v>0</v>
      </c>
      <c r="BF50" s="40">
        <f>50</f>
        <v>50</v>
      </c>
      <c r="BH50" s="40">
        <f>H50*AO50</f>
        <v>0</v>
      </c>
      <c r="BI50" s="40">
        <f>H50*AP50</f>
        <v>0</v>
      </c>
      <c r="BJ50" s="40">
        <f>H50*I50</f>
        <v>0</v>
      </c>
      <c r="BK50" s="40"/>
      <c r="BL50" s="40"/>
    </row>
    <row r="51" spans="1:13" ht="40.5" customHeight="1">
      <c r="A51" s="67"/>
      <c r="B51" s="18" t="s">
        <v>452</v>
      </c>
      <c r="C51" s="93" t="s">
        <v>188</v>
      </c>
      <c r="D51" s="94"/>
      <c r="E51" s="94"/>
      <c r="F51" s="94"/>
      <c r="G51" s="94"/>
      <c r="H51" s="94"/>
      <c r="I51" s="94"/>
      <c r="J51" s="94"/>
      <c r="K51" s="94"/>
      <c r="L51" s="94"/>
      <c r="M51" s="95"/>
    </row>
    <row r="52" spans="1:64" ht="15" customHeight="1">
      <c r="A52" s="19" t="s">
        <v>130</v>
      </c>
      <c r="B52" s="59" t="s">
        <v>174</v>
      </c>
      <c r="C52" s="76" t="s">
        <v>1377</v>
      </c>
      <c r="D52" s="76"/>
      <c r="E52" s="76"/>
      <c r="F52" s="76"/>
      <c r="G52" s="59" t="s">
        <v>1041</v>
      </c>
      <c r="H52" s="40">
        <v>235</v>
      </c>
      <c r="I52" s="40">
        <v>0</v>
      </c>
      <c r="J52" s="40">
        <f>H52*AO52</f>
        <v>0</v>
      </c>
      <c r="K52" s="40">
        <f>H52*AP52</f>
        <v>0</v>
      </c>
      <c r="L52" s="40">
        <f>H52*I52</f>
        <v>0</v>
      </c>
      <c r="M52" s="69" t="s">
        <v>868</v>
      </c>
      <c r="Z52" s="40">
        <f>IF(AQ52="5",BJ52,0)</f>
        <v>0</v>
      </c>
      <c r="AB52" s="40">
        <f>IF(AQ52="1",BH52,0)</f>
        <v>0</v>
      </c>
      <c r="AC52" s="40">
        <f>IF(AQ52="1",BI52,0)</f>
        <v>0</v>
      </c>
      <c r="AD52" s="40">
        <f>IF(AQ52="7",BH52,0)</f>
        <v>0</v>
      </c>
      <c r="AE52" s="40">
        <f>IF(AQ52="7",BI52,0)</f>
        <v>0</v>
      </c>
      <c r="AF52" s="40">
        <f>IF(AQ52="2",BH52,0)</f>
        <v>0</v>
      </c>
      <c r="AG52" s="40">
        <f>IF(AQ52="2",BI52,0)</f>
        <v>0</v>
      </c>
      <c r="AH52" s="40">
        <f>IF(AQ52="0",BJ52,0)</f>
        <v>0</v>
      </c>
      <c r="AI52" s="11" t="s">
        <v>1302</v>
      </c>
      <c r="AJ52" s="40">
        <f>IF(AN52=0,L52,0)</f>
        <v>0</v>
      </c>
      <c r="AK52" s="40">
        <f>IF(AN52=15,L52,0)</f>
        <v>0</v>
      </c>
      <c r="AL52" s="40">
        <f>IF(AN52=21,L52,0)</f>
        <v>0</v>
      </c>
      <c r="AN52" s="40">
        <v>21</v>
      </c>
      <c r="AO52" s="40">
        <f>I52*1</f>
        <v>0</v>
      </c>
      <c r="AP52" s="40">
        <f>I52*(1-1)</f>
        <v>0</v>
      </c>
      <c r="AQ52" s="17" t="s">
        <v>658</v>
      </c>
      <c r="AV52" s="40">
        <f>AW52+AX52</f>
        <v>0</v>
      </c>
      <c r="AW52" s="40">
        <f>H52*AO52</f>
        <v>0</v>
      </c>
      <c r="AX52" s="40">
        <f>H52*AP52</f>
        <v>0</v>
      </c>
      <c r="AY52" s="17" t="s">
        <v>268</v>
      </c>
      <c r="AZ52" s="17" t="s">
        <v>542</v>
      </c>
      <c r="BA52" s="11" t="s">
        <v>698</v>
      </c>
      <c r="BC52" s="40">
        <f>AW52+AX52</f>
        <v>0</v>
      </c>
      <c r="BD52" s="40">
        <f>I52/(100-BE52)*100</f>
        <v>0</v>
      </c>
      <c r="BE52" s="40">
        <v>0</v>
      </c>
      <c r="BF52" s="40">
        <f>52</f>
        <v>52</v>
      </c>
      <c r="BH52" s="40">
        <f>H52*AO52</f>
        <v>0</v>
      </c>
      <c r="BI52" s="40">
        <f>H52*AP52</f>
        <v>0</v>
      </c>
      <c r="BJ52" s="40">
        <f>H52*I52</f>
        <v>0</v>
      </c>
      <c r="BK52" s="40"/>
      <c r="BL52" s="40"/>
    </row>
    <row r="53" spans="1:13" ht="13.5" customHeight="1">
      <c r="A53" s="67"/>
      <c r="B53" s="18" t="s">
        <v>452</v>
      </c>
      <c r="C53" s="93" t="s">
        <v>121</v>
      </c>
      <c r="D53" s="94"/>
      <c r="E53" s="94"/>
      <c r="F53" s="94"/>
      <c r="G53" s="94"/>
      <c r="H53" s="94"/>
      <c r="I53" s="94"/>
      <c r="J53" s="94"/>
      <c r="K53" s="94"/>
      <c r="L53" s="94"/>
      <c r="M53" s="95"/>
    </row>
    <row r="54" spans="1:64" ht="15" customHeight="1">
      <c r="A54" s="19" t="s">
        <v>309</v>
      </c>
      <c r="B54" s="59" t="s">
        <v>1189</v>
      </c>
      <c r="C54" s="76" t="s">
        <v>671</v>
      </c>
      <c r="D54" s="76"/>
      <c r="E54" s="76"/>
      <c r="F54" s="76"/>
      <c r="G54" s="59" t="s">
        <v>1041</v>
      </c>
      <c r="H54" s="40">
        <v>235</v>
      </c>
      <c r="I54" s="40">
        <v>0</v>
      </c>
      <c r="J54" s="40">
        <f>H54*AO54</f>
        <v>0</v>
      </c>
      <c r="K54" s="40">
        <f>H54*AP54</f>
        <v>0</v>
      </c>
      <c r="L54" s="40">
        <f>H54*I54</f>
        <v>0</v>
      </c>
      <c r="M54" s="69" t="s">
        <v>868</v>
      </c>
      <c r="Z54" s="40">
        <f>IF(AQ54="5",BJ54,0)</f>
        <v>0</v>
      </c>
      <c r="AB54" s="40">
        <f>IF(AQ54="1",BH54,0)</f>
        <v>0</v>
      </c>
      <c r="AC54" s="40">
        <f>IF(AQ54="1",BI54,0)</f>
        <v>0</v>
      </c>
      <c r="AD54" s="40">
        <f>IF(AQ54="7",BH54,0)</f>
        <v>0</v>
      </c>
      <c r="AE54" s="40">
        <f>IF(AQ54="7",BI54,0)</f>
        <v>0</v>
      </c>
      <c r="AF54" s="40">
        <f>IF(AQ54="2",BH54,0)</f>
        <v>0</v>
      </c>
      <c r="AG54" s="40">
        <f>IF(AQ54="2",BI54,0)</f>
        <v>0</v>
      </c>
      <c r="AH54" s="40">
        <f>IF(AQ54="0",BJ54,0)</f>
        <v>0</v>
      </c>
      <c r="AI54" s="11" t="s">
        <v>1302</v>
      </c>
      <c r="AJ54" s="40">
        <f>IF(AN54=0,L54,0)</f>
        <v>0</v>
      </c>
      <c r="AK54" s="40">
        <f>IF(AN54=15,L54,0)</f>
        <v>0</v>
      </c>
      <c r="AL54" s="40">
        <f>IF(AN54=21,L54,0)</f>
        <v>0</v>
      </c>
      <c r="AN54" s="40">
        <v>21</v>
      </c>
      <c r="AO54" s="40">
        <f>I54*1</f>
        <v>0</v>
      </c>
      <c r="AP54" s="40">
        <f>I54*(1-1)</f>
        <v>0</v>
      </c>
      <c r="AQ54" s="17" t="s">
        <v>658</v>
      </c>
      <c r="AV54" s="40">
        <f>AW54+AX54</f>
        <v>0</v>
      </c>
      <c r="AW54" s="40">
        <f>H54*AO54</f>
        <v>0</v>
      </c>
      <c r="AX54" s="40">
        <f>H54*AP54</f>
        <v>0</v>
      </c>
      <c r="AY54" s="17" t="s">
        <v>268</v>
      </c>
      <c r="AZ54" s="17" t="s">
        <v>542</v>
      </c>
      <c r="BA54" s="11" t="s">
        <v>698</v>
      </c>
      <c r="BC54" s="40">
        <f>AW54+AX54</f>
        <v>0</v>
      </c>
      <c r="BD54" s="40">
        <f>I54/(100-BE54)*100</f>
        <v>0</v>
      </c>
      <c r="BE54" s="40">
        <v>0</v>
      </c>
      <c r="BF54" s="40">
        <f>54</f>
        <v>54</v>
      </c>
      <c r="BH54" s="40">
        <f>H54*AO54</f>
        <v>0</v>
      </c>
      <c r="BI54" s="40">
        <f>H54*AP54</f>
        <v>0</v>
      </c>
      <c r="BJ54" s="40">
        <f>H54*I54</f>
        <v>0</v>
      </c>
      <c r="BK54" s="40"/>
      <c r="BL54" s="40"/>
    </row>
    <row r="55" spans="1:13" ht="108" customHeight="1">
      <c r="A55" s="67"/>
      <c r="B55" s="18" t="s">
        <v>452</v>
      </c>
      <c r="C55" s="93" t="s">
        <v>967</v>
      </c>
      <c r="D55" s="94"/>
      <c r="E55" s="94"/>
      <c r="F55" s="94"/>
      <c r="G55" s="94"/>
      <c r="H55" s="94"/>
      <c r="I55" s="94"/>
      <c r="J55" s="94"/>
      <c r="K55" s="94"/>
      <c r="L55" s="94"/>
      <c r="M55" s="95"/>
    </row>
    <row r="56" spans="1:13" ht="40.5" customHeight="1">
      <c r="A56" s="67"/>
      <c r="C56" s="93" t="s">
        <v>185</v>
      </c>
      <c r="D56" s="94"/>
      <c r="E56" s="94"/>
      <c r="F56" s="94"/>
      <c r="G56" s="94"/>
      <c r="H56" s="94"/>
      <c r="I56" s="94"/>
      <c r="J56" s="94"/>
      <c r="K56" s="94"/>
      <c r="L56" s="94"/>
      <c r="M56" s="95"/>
    </row>
    <row r="57" spans="1:35" ht="15" customHeight="1">
      <c r="A57" s="24" t="s">
        <v>878</v>
      </c>
      <c r="B57" s="66" t="s">
        <v>878</v>
      </c>
      <c r="C57" s="92" t="s">
        <v>752</v>
      </c>
      <c r="D57" s="92"/>
      <c r="E57" s="92"/>
      <c r="F57" s="92"/>
      <c r="G57" s="3" t="s">
        <v>1172</v>
      </c>
      <c r="H57" s="3" t="s">
        <v>1172</v>
      </c>
      <c r="I57" s="3" t="s">
        <v>1172</v>
      </c>
      <c r="J57" s="63">
        <f>J58+J60+J62+J67</f>
        <v>0</v>
      </c>
      <c r="K57" s="63">
        <f>K58+K60+K62+K67</f>
        <v>0</v>
      </c>
      <c r="L57" s="63">
        <f>L58+L60+L62+L67</f>
        <v>0</v>
      </c>
      <c r="M57" s="4" t="s">
        <v>878</v>
      </c>
      <c r="AI57" s="11" t="s">
        <v>1302</v>
      </c>
    </row>
    <row r="58" spans="1:47" ht="15" customHeight="1">
      <c r="A58" s="24" t="s">
        <v>878</v>
      </c>
      <c r="B58" s="66" t="s">
        <v>940</v>
      </c>
      <c r="C58" s="92" t="s">
        <v>581</v>
      </c>
      <c r="D58" s="92"/>
      <c r="E58" s="92"/>
      <c r="F58" s="92"/>
      <c r="G58" s="3" t="s">
        <v>1172</v>
      </c>
      <c r="H58" s="3" t="s">
        <v>1172</v>
      </c>
      <c r="I58" s="3" t="s">
        <v>1172</v>
      </c>
      <c r="J58" s="63">
        <f>SUM(J59:J59)</f>
        <v>0</v>
      </c>
      <c r="K58" s="63">
        <f>SUM(K59:K59)</f>
        <v>0</v>
      </c>
      <c r="L58" s="63">
        <f>SUM(L59:L59)</f>
        <v>0</v>
      </c>
      <c r="M58" s="4" t="s">
        <v>878</v>
      </c>
      <c r="AI58" s="11" t="s">
        <v>1302</v>
      </c>
      <c r="AS58" s="63">
        <f>SUM(AJ59:AJ59)</f>
        <v>0</v>
      </c>
      <c r="AT58" s="63">
        <f>SUM(AK59:AK59)</f>
        <v>0</v>
      </c>
      <c r="AU58" s="63">
        <f>SUM(AL59:AL59)</f>
        <v>0</v>
      </c>
    </row>
    <row r="59" spans="1:65" ht="15" customHeight="1">
      <c r="A59" s="19" t="s">
        <v>167</v>
      </c>
      <c r="B59" s="59" t="s">
        <v>584</v>
      </c>
      <c r="C59" s="76" t="s">
        <v>974</v>
      </c>
      <c r="D59" s="76"/>
      <c r="E59" s="76"/>
      <c r="F59" s="76"/>
      <c r="G59" s="59" t="s">
        <v>852</v>
      </c>
      <c r="H59" s="40">
        <v>1</v>
      </c>
      <c r="I59" s="40">
        <v>0</v>
      </c>
      <c r="J59" s="40">
        <f>H59*AO59</f>
        <v>0</v>
      </c>
      <c r="K59" s="40">
        <f>H59*AP59</f>
        <v>0</v>
      </c>
      <c r="L59" s="40">
        <f>H59*I59</f>
        <v>0</v>
      </c>
      <c r="M59" s="69" t="s">
        <v>868</v>
      </c>
      <c r="Z59" s="40">
        <f>IF(AQ59="5",BJ59,0)</f>
        <v>0</v>
      </c>
      <c r="AB59" s="40">
        <f>IF(AQ59="1",BH59,0)</f>
        <v>0</v>
      </c>
      <c r="AC59" s="40">
        <f>IF(AQ59="1",BI59,0)</f>
        <v>0</v>
      </c>
      <c r="AD59" s="40">
        <f>IF(AQ59="7",BH59,0)</f>
        <v>0</v>
      </c>
      <c r="AE59" s="40">
        <f>IF(AQ59="7",BI59,0)</f>
        <v>0</v>
      </c>
      <c r="AF59" s="40">
        <f>IF(AQ59="2",BH59,0)</f>
        <v>0</v>
      </c>
      <c r="AG59" s="40">
        <f>IF(AQ59="2",BI59,0)</f>
        <v>0</v>
      </c>
      <c r="AH59" s="40">
        <f>IF(AQ59="0",BJ59,0)</f>
        <v>0</v>
      </c>
      <c r="AI59" s="11" t="s">
        <v>1302</v>
      </c>
      <c r="AJ59" s="40">
        <f>IF(AN59=0,L59,0)</f>
        <v>0</v>
      </c>
      <c r="AK59" s="40">
        <f>IF(AN59=15,L59,0)</f>
        <v>0</v>
      </c>
      <c r="AL59" s="40">
        <f>IF(AN59=21,L59,0)</f>
        <v>0</v>
      </c>
      <c r="AN59" s="40">
        <v>21</v>
      </c>
      <c r="AO59" s="40">
        <f>I59*0</f>
        <v>0</v>
      </c>
      <c r="AP59" s="40">
        <f>I59*(1-0)</f>
        <v>0</v>
      </c>
      <c r="AQ59" s="17" t="s">
        <v>578</v>
      </c>
      <c r="AV59" s="40">
        <f>AW59+AX59</f>
        <v>0</v>
      </c>
      <c r="AW59" s="40">
        <f>H59*AO59</f>
        <v>0</v>
      </c>
      <c r="AX59" s="40">
        <f>H59*AP59</f>
        <v>0</v>
      </c>
      <c r="AY59" s="17" t="s">
        <v>593</v>
      </c>
      <c r="AZ59" s="17" t="s">
        <v>200</v>
      </c>
      <c r="BA59" s="11" t="s">
        <v>698</v>
      </c>
      <c r="BC59" s="40">
        <f>AW59+AX59</f>
        <v>0</v>
      </c>
      <c r="BD59" s="40">
        <f>I59/(100-BE59)*100</f>
        <v>0</v>
      </c>
      <c r="BE59" s="40">
        <v>0</v>
      </c>
      <c r="BF59" s="40">
        <f>59</f>
        <v>59</v>
      </c>
      <c r="BH59" s="40">
        <f>H59*AO59</f>
        <v>0</v>
      </c>
      <c r="BI59" s="40">
        <f>H59*AP59</f>
        <v>0</v>
      </c>
      <c r="BJ59" s="40">
        <f>H59*I59</f>
        <v>0</v>
      </c>
      <c r="BK59" s="40"/>
      <c r="BL59" s="40"/>
      <c r="BM59" s="40">
        <f>H59*I59</f>
        <v>0</v>
      </c>
    </row>
    <row r="60" spans="1:47" ht="15" customHeight="1">
      <c r="A60" s="24" t="s">
        <v>878</v>
      </c>
      <c r="B60" s="66" t="s">
        <v>67</v>
      </c>
      <c r="C60" s="92" t="s">
        <v>137</v>
      </c>
      <c r="D60" s="92"/>
      <c r="E60" s="92"/>
      <c r="F60" s="92"/>
      <c r="G60" s="3" t="s">
        <v>1172</v>
      </c>
      <c r="H60" s="3" t="s">
        <v>1172</v>
      </c>
      <c r="I60" s="3" t="s">
        <v>1172</v>
      </c>
      <c r="J60" s="63">
        <f>SUM(J61:J61)</f>
        <v>0</v>
      </c>
      <c r="K60" s="63">
        <f>SUM(K61:K61)</f>
        <v>0</v>
      </c>
      <c r="L60" s="63">
        <f>SUM(L61:L61)</f>
        <v>0</v>
      </c>
      <c r="M60" s="4" t="s">
        <v>878</v>
      </c>
      <c r="AI60" s="11" t="s">
        <v>1302</v>
      </c>
      <c r="AS60" s="63">
        <f>SUM(AJ61:AJ61)</f>
        <v>0</v>
      </c>
      <c r="AT60" s="63">
        <f>SUM(AK61:AK61)</f>
        <v>0</v>
      </c>
      <c r="AU60" s="63">
        <f>SUM(AL61:AL61)</f>
        <v>0</v>
      </c>
    </row>
    <row r="61" spans="1:67" ht="15" customHeight="1">
      <c r="A61" s="19" t="s">
        <v>1238</v>
      </c>
      <c r="B61" s="59" t="s">
        <v>840</v>
      </c>
      <c r="C61" s="76" t="s">
        <v>137</v>
      </c>
      <c r="D61" s="76"/>
      <c r="E61" s="76"/>
      <c r="F61" s="76"/>
      <c r="G61" s="59" t="s">
        <v>852</v>
      </c>
      <c r="H61" s="40">
        <v>1</v>
      </c>
      <c r="I61" s="40">
        <v>0</v>
      </c>
      <c r="J61" s="40">
        <f>H61*AO61</f>
        <v>0</v>
      </c>
      <c r="K61" s="40">
        <f>H61*AP61</f>
        <v>0</v>
      </c>
      <c r="L61" s="40">
        <f>H61*I61</f>
        <v>0</v>
      </c>
      <c r="M61" s="69" t="s">
        <v>868</v>
      </c>
      <c r="Z61" s="40">
        <f>IF(AQ61="5",BJ61,0)</f>
        <v>0</v>
      </c>
      <c r="AB61" s="40">
        <f>IF(AQ61="1",BH61,0)</f>
        <v>0</v>
      </c>
      <c r="AC61" s="40">
        <f>IF(AQ61="1",BI61,0)</f>
        <v>0</v>
      </c>
      <c r="AD61" s="40">
        <f>IF(AQ61="7",BH61,0)</f>
        <v>0</v>
      </c>
      <c r="AE61" s="40">
        <f>IF(AQ61="7",BI61,0)</f>
        <v>0</v>
      </c>
      <c r="AF61" s="40">
        <f>IF(AQ61="2",BH61,0)</f>
        <v>0</v>
      </c>
      <c r="AG61" s="40">
        <f>IF(AQ61="2",BI61,0)</f>
        <v>0</v>
      </c>
      <c r="AH61" s="40">
        <f>IF(AQ61="0",BJ61,0)</f>
        <v>0</v>
      </c>
      <c r="AI61" s="11" t="s">
        <v>1302</v>
      </c>
      <c r="AJ61" s="40">
        <f>IF(AN61=0,L61,0)</f>
        <v>0</v>
      </c>
      <c r="AK61" s="40">
        <f>IF(AN61=15,L61,0)</f>
        <v>0</v>
      </c>
      <c r="AL61" s="40">
        <f>IF(AN61=21,L61,0)</f>
        <v>0</v>
      </c>
      <c r="AN61" s="40">
        <v>21</v>
      </c>
      <c r="AO61" s="40">
        <f>I61*0</f>
        <v>0</v>
      </c>
      <c r="AP61" s="40">
        <f>I61*(1-0)</f>
        <v>0</v>
      </c>
      <c r="AQ61" s="17" t="s">
        <v>578</v>
      </c>
      <c r="AV61" s="40">
        <f>AW61+AX61</f>
        <v>0</v>
      </c>
      <c r="AW61" s="40">
        <f>H61*AO61</f>
        <v>0</v>
      </c>
      <c r="AX61" s="40">
        <f>H61*AP61</f>
        <v>0</v>
      </c>
      <c r="AY61" s="17" t="s">
        <v>290</v>
      </c>
      <c r="AZ61" s="17" t="s">
        <v>200</v>
      </c>
      <c r="BA61" s="11" t="s">
        <v>698</v>
      </c>
      <c r="BC61" s="40">
        <f>AW61+AX61</f>
        <v>0</v>
      </c>
      <c r="BD61" s="40">
        <f>I61/(100-BE61)*100</f>
        <v>0</v>
      </c>
      <c r="BE61" s="40">
        <v>0</v>
      </c>
      <c r="BF61" s="40">
        <f>61</f>
        <v>61</v>
      </c>
      <c r="BH61" s="40">
        <f>H61*AO61</f>
        <v>0</v>
      </c>
      <c r="BI61" s="40">
        <f>H61*AP61</f>
        <v>0</v>
      </c>
      <c r="BJ61" s="40">
        <f>H61*I61</f>
        <v>0</v>
      </c>
      <c r="BK61" s="40"/>
      <c r="BL61" s="40"/>
      <c r="BO61" s="40">
        <f>H61*I61</f>
        <v>0</v>
      </c>
    </row>
    <row r="62" spans="1:47" ht="15" customHeight="1">
      <c r="A62" s="24" t="s">
        <v>878</v>
      </c>
      <c r="B62" s="66" t="s">
        <v>408</v>
      </c>
      <c r="C62" s="92" t="s">
        <v>1045</v>
      </c>
      <c r="D62" s="92"/>
      <c r="E62" s="92"/>
      <c r="F62" s="92"/>
      <c r="G62" s="3" t="s">
        <v>1172</v>
      </c>
      <c r="H62" s="3" t="s">
        <v>1172</v>
      </c>
      <c r="I62" s="3" t="s">
        <v>1172</v>
      </c>
      <c r="J62" s="63">
        <f>SUM(J63:J65)</f>
        <v>0</v>
      </c>
      <c r="K62" s="63">
        <f>SUM(K63:K65)</f>
        <v>0</v>
      </c>
      <c r="L62" s="63">
        <f>SUM(L63:L65)</f>
        <v>0</v>
      </c>
      <c r="M62" s="4" t="s">
        <v>878</v>
      </c>
      <c r="AI62" s="11" t="s">
        <v>1302</v>
      </c>
      <c r="AS62" s="63">
        <f>SUM(AJ63:AJ65)</f>
        <v>0</v>
      </c>
      <c r="AT62" s="63">
        <f>SUM(AK63:AK65)</f>
        <v>0</v>
      </c>
      <c r="AU62" s="63">
        <f>SUM(AL63:AL65)</f>
        <v>0</v>
      </c>
    </row>
    <row r="63" spans="1:68" ht="15" customHeight="1">
      <c r="A63" s="19" t="s">
        <v>1373</v>
      </c>
      <c r="B63" s="59" t="s">
        <v>341</v>
      </c>
      <c r="C63" s="76" t="s">
        <v>797</v>
      </c>
      <c r="D63" s="76"/>
      <c r="E63" s="76"/>
      <c r="F63" s="76"/>
      <c r="G63" s="59" t="s">
        <v>852</v>
      </c>
      <c r="H63" s="40">
        <v>1</v>
      </c>
      <c r="I63" s="40">
        <v>0</v>
      </c>
      <c r="J63" s="40">
        <f>H63*AO63</f>
        <v>0</v>
      </c>
      <c r="K63" s="40">
        <f>H63*AP63</f>
        <v>0</v>
      </c>
      <c r="L63" s="40">
        <f>H63*I63</f>
        <v>0</v>
      </c>
      <c r="M63" s="69" t="s">
        <v>868</v>
      </c>
      <c r="Z63" s="40">
        <f>IF(AQ63="5",BJ63,0)</f>
        <v>0</v>
      </c>
      <c r="AB63" s="40">
        <f>IF(AQ63="1",BH63,0)</f>
        <v>0</v>
      </c>
      <c r="AC63" s="40">
        <f>IF(AQ63="1",BI63,0)</f>
        <v>0</v>
      </c>
      <c r="AD63" s="40">
        <f>IF(AQ63="7",BH63,0)</f>
        <v>0</v>
      </c>
      <c r="AE63" s="40">
        <f>IF(AQ63="7",BI63,0)</f>
        <v>0</v>
      </c>
      <c r="AF63" s="40">
        <f>IF(AQ63="2",BH63,0)</f>
        <v>0</v>
      </c>
      <c r="AG63" s="40">
        <f>IF(AQ63="2",BI63,0)</f>
        <v>0</v>
      </c>
      <c r="AH63" s="40">
        <f>IF(AQ63="0",BJ63,0)</f>
        <v>0</v>
      </c>
      <c r="AI63" s="11" t="s">
        <v>1302</v>
      </c>
      <c r="AJ63" s="40">
        <f>IF(AN63=0,L63,0)</f>
        <v>0</v>
      </c>
      <c r="AK63" s="40">
        <f>IF(AN63=15,L63,0)</f>
        <v>0</v>
      </c>
      <c r="AL63" s="40">
        <f>IF(AN63=21,L63,0)</f>
        <v>0</v>
      </c>
      <c r="AN63" s="40">
        <v>21</v>
      </c>
      <c r="AO63" s="40">
        <f>I63*0</f>
        <v>0</v>
      </c>
      <c r="AP63" s="40">
        <f>I63*(1-0)</f>
        <v>0</v>
      </c>
      <c r="AQ63" s="17" t="s">
        <v>578</v>
      </c>
      <c r="AV63" s="40">
        <f>AW63+AX63</f>
        <v>0</v>
      </c>
      <c r="AW63" s="40">
        <f>H63*AO63</f>
        <v>0</v>
      </c>
      <c r="AX63" s="40">
        <f>H63*AP63</f>
        <v>0</v>
      </c>
      <c r="AY63" s="17" t="s">
        <v>1051</v>
      </c>
      <c r="AZ63" s="17" t="s">
        <v>200</v>
      </c>
      <c r="BA63" s="11" t="s">
        <v>698</v>
      </c>
      <c r="BC63" s="40">
        <f>AW63+AX63</f>
        <v>0</v>
      </c>
      <c r="BD63" s="40">
        <f>I63/(100-BE63)*100</f>
        <v>0</v>
      </c>
      <c r="BE63" s="40">
        <v>0</v>
      </c>
      <c r="BF63" s="40">
        <f>63</f>
        <v>63</v>
      </c>
      <c r="BH63" s="40">
        <f>H63*AO63</f>
        <v>0</v>
      </c>
      <c r="BI63" s="40">
        <f>H63*AP63</f>
        <v>0</v>
      </c>
      <c r="BJ63" s="40">
        <f>H63*I63</f>
        <v>0</v>
      </c>
      <c r="BK63" s="40"/>
      <c r="BL63" s="40"/>
      <c r="BP63" s="40">
        <f>H63*I63</f>
        <v>0</v>
      </c>
    </row>
    <row r="64" spans="1:68" ht="15" customHeight="1">
      <c r="A64" s="19" t="s">
        <v>99</v>
      </c>
      <c r="B64" s="59" t="s">
        <v>805</v>
      </c>
      <c r="C64" s="76" t="s">
        <v>1045</v>
      </c>
      <c r="D64" s="76"/>
      <c r="E64" s="76"/>
      <c r="F64" s="76"/>
      <c r="G64" s="59" t="s">
        <v>852</v>
      </c>
      <c r="H64" s="40">
        <v>1</v>
      </c>
      <c r="I64" s="40">
        <v>0</v>
      </c>
      <c r="J64" s="40">
        <f>H64*AO64</f>
        <v>0</v>
      </c>
      <c r="K64" s="40">
        <f>H64*AP64</f>
        <v>0</v>
      </c>
      <c r="L64" s="40">
        <f>H64*I64</f>
        <v>0</v>
      </c>
      <c r="M64" s="69" t="s">
        <v>868</v>
      </c>
      <c r="Z64" s="40">
        <f>IF(AQ64="5",BJ64,0)</f>
        <v>0</v>
      </c>
      <c r="AB64" s="40">
        <f>IF(AQ64="1",BH64,0)</f>
        <v>0</v>
      </c>
      <c r="AC64" s="40">
        <f>IF(AQ64="1",BI64,0)</f>
        <v>0</v>
      </c>
      <c r="AD64" s="40">
        <f>IF(AQ64="7",BH64,0)</f>
        <v>0</v>
      </c>
      <c r="AE64" s="40">
        <f>IF(AQ64="7",BI64,0)</f>
        <v>0</v>
      </c>
      <c r="AF64" s="40">
        <f>IF(AQ64="2",BH64,0)</f>
        <v>0</v>
      </c>
      <c r="AG64" s="40">
        <f>IF(AQ64="2",BI64,0)</f>
        <v>0</v>
      </c>
      <c r="AH64" s="40">
        <f>IF(AQ64="0",BJ64,0)</f>
        <v>0</v>
      </c>
      <c r="AI64" s="11" t="s">
        <v>1302</v>
      </c>
      <c r="AJ64" s="40">
        <f>IF(AN64=0,L64,0)</f>
        <v>0</v>
      </c>
      <c r="AK64" s="40">
        <f>IF(AN64=15,L64,0)</f>
        <v>0</v>
      </c>
      <c r="AL64" s="40">
        <f>IF(AN64=21,L64,0)</f>
        <v>0</v>
      </c>
      <c r="AN64" s="40">
        <v>21</v>
      </c>
      <c r="AO64" s="40">
        <f>I64*0</f>
        <v>0</v>
      </c>
      <c r="AP64" s="40">
        <f>I64*(1-0)</f>
        <v>0</v>
      </c>
      <c r="AQ64" s="17" t="s">
        <v>578</v>
      </c>
      <c r="AV64" s="40">
        <f>AW64+AX64</f>
        <v>0</v>
      </c>
      <c r="AW64" s="40">
        <f>H64*AO64</f>
        <v>0</v>
      </c>
      <c r="AX64" s="40">
        <f>H64*AP64</f>
        <v>0</v>
      </c>
      <c r="AY64" s="17" t="s">
        <v>1051</v>
      </c>
      <c r="AZ64" s="17" t="s">
        <v>200</v>
      </c>
      <c r="BA64" s="11" t="s">
        <v>698</v>
      </c>
      <c r="BC64" s="40">
        <f>AW64+AX64</f>
        <v>0</v>
      </c>
      <c r="BD64" s="40">
        <f>I64/(100-BE64)*100</f>
        <v>0</v>
      </c>
      <c r="BE64" s="40">
        <v>0</v>
      </c>
      <c r="BF64" s="40">
        <f>64</f>
        <v>64</v>
      </c>
      <c r="BH64" s="40">
        <f>H64*AO64</f>
        <v>0</v>
      </c>
      <c r="BI64" s="40">
        <f>H64*AP64</f>
        <v>0</v>
      </c>
      <c r="BJ64" s="40">
        <f>H64*I64</f>
        <v>0</v>
      </c>
      <c r="BK64" s="40"/>
      <c r="BL64" s="40"/>
      <c r="BP64" s="40">
        <f>H64*I64</f>
        <v>0</v>
      </c>
    </row>
    <row r="65" spans="1:68" ht="15" customHeight="1">
      <c r="A65" s="19" t="s">
        <v>820</v>
      </c>
      <c r="B65" s="59" t="s">
        <v>857</v>
      </c>
      <c r="C65" s="76" t="s">
        <v>234</v>
      </c>
      <c r="D65" s="76"/>
      <c r="E65" s="76"/>
      <c r="F65" s="76"/>
      <c r="G65" s="59" t="s">
        <v>852</v>
      </c>
      <c r="H65" s="40">
        <v>3</v>
      </c>
      <c r="I65" s="40">
        <v>0</v>
      </c>
      <c r="J65" s="40">
        <f>H65*AO65</f>
        <v>0</v>
      </c>
      <c r="K65" s="40">
        <f>H65*AP65</f>
        <v>0</v>
      </c>
      <c r="L65" s="40">
        <f>H65*I65</f>
        <v>0</v>
      </c>
      <c r="M65" s="69" t="s">
        <v>868</v>
      </c>
      <c r="Z65" s="40">
        <f>IF(AQ65="5",BJ65,0)</f>
        <v>0</v>
      </c>
      <c r="AB65" s="40">
        <f>IF(AQ65="1",BH65,0)</f>
        <v>0</v>
      </c>
      <c r="AC65" s="40">
        <f>IF(AQ65="1",BI65,0)</f>
        <v>0</v>
      </c>
      <c r="AD65" s="40">
        <f>IF(AQ65="7",BH65,0)</f>
        <v>0</v>
      </c>
      <c r="AE65" s="40">
        <f>IF(AQ65="7",BI65,0)</f>
        <v>0</v>
      </c>
      <c r="AF65" s="40">
        <f>IF(AQ65="2",BH65,0)</f>
        <v>0</v>
      </c>
      <c r="AG65" s="40">
        <f>IF(AQ65="2",BI65,0)</f>
        <v>0</v>
      </c>
      <c r="AH65" s="40">
        <f>IF(AQ65="0",BJ65,0)</f>
        <v>0</v>
      </c>
      <c r="AI65" s="11" t="s">
        <v>1302</v>
      </c>
      <c r="AJ65" s="40">
        <f>IF(AN65=0,L65,0)</f>
        <v>0</v>
      </c>
      <c r="AK65" s="40">
        <f>IF(AN65=15,L65,0)</f>
        <v>0</v>
      </c>
      <c r="AL65" s="40">
        <f>IF(AN65=21,L65,0)</f>
        <v>0</v>
      </c>
      <c r="AN65" s="40">
        <v>21</v>
      </c>
      <c r="AO65" s="40">
        <f>I65*0</f>
        <v>0</v>
      </c>
      <c r="AP65" s="40">
        <f>I65*(1-0)</f>
        <v>0</v>
      </c>
      <c r="AQ65" s="17" t="s">
        <v>578</v>
      </c>
      <c r="AV65" s="40">
        <f>AW65+AX65</f>
        <v>0</v>
      </c>
      <c r="AW65" s="40">
        <f>H65*AO65</f>
        <v>0</v>
      </c>
      <c r="AX65" s="40">
        <f>H65*AP65</f>
        <v>0</v>
      </c>
      <c r="AY65" s="17" t="s">
        <v>1051</v>
      </c>
      <c r="AZ65" s="17" t="s">
        <v>200</v>
      </c>
      <c r="BA65" s="11" t="s">
        <v>698</v>
      </c>
      <c r="BC65" s="40">
        <f>AW65+AX65</f>
        <v>0</v>
      </c>
      <c r="BD65" s="40">
        <f>I65/(100-BE65)*100</f>
        <v>0</v>
      </c>
      <c r="BE65" s="40">
        <v>0</v>
      </c>
      <c r="BF65" s="40">
        <f>65</f>
        <v>65</v>
      </c>
      <c r="BH65" s="40">
        <f>H65*AO65</f>
        <v>0</v>
      </c>
      <c r="BI65" s="40">
        <f>H65*AP65</f>
        <v>0</v>
      </c>
      <c r="BJ65" s="40">
        <f>H65*I65</f>
        <v>0</v>
      </c>
      <c r="BK65" s="40"/>
      <c r="BL65" s="40"/>
      <c r="BP65" s="40">
        <f>H65*I65</f>
        <v>0</v>
      </c>
    </row>
    <row r="66" spans="1:13" ht="13.5" customHeight="1">
      <c r="A66" s="67"/>
      <c r="B66" s="18" t="s">
        <v>114</v>
      </c>
      <c r="C66" s="93" t="s">
        <v>183</v>
      </c>
      <c r="D66" s="94"/>
      <c r="E66" s="94"/>
      <c r="F66" s="94"/>
      <c r="G66" s="94"/>
      <c r="H66" s="94"/>
      <c r="I66" s="94"/>
      <c r="J66" s="94"/>
      <c r="K66" s="94"/>
      <c r="L66" s="94"/>
      <c r="M66" s="95"/>
    </row>
    <row r="67" spans="1:47" ht="15" customHeight="1">
      <c r="A67" s="24" t="s">
        <v>878</v>
      </c>
      <c r="B67" s="66" t="s">
        <v>935</v>
      </c>
      <c r="C67" s="92" t="s">
        <v>664</v>
      </c>
      <c r="D67" s="92"/>
      <c r="E67" s="92"/>
      <c r="F67" s="92"/>
      <c r="G67" s="3" t="s">
        <v>1172</v>
      </c>
      <c r="H67" s="3" t="s">
        <v>1172</v>
      </c>
      <c r="I67" s="3" t="s">
        <v>1172</v>
      </c>
      <c r="J67" s="63">
        <f>SUM(J68:J68)</f>
        <v>0</v>
      </c>
      <c r="K67" s="63">
        <f>SUM(K68:K68)</f>
        <v>0</v>
      </c>
      <c r="L67" s="63">
        <f>SUM(L68:L68)</f>
        <v>0</v>
      </c>
      <c r="M67" s="4" t="s">
        <v>878</v>
      </c>
      <c r="AI67" s="11" t="s">
        <v>1302</v>
      </c>
      <c r="AS67" s="63">
        <f>SUM(AJ68:AJ68)</f>
        <v>0</v>
      </c>
      <c r="AT67" s="63">
        <f>SUM(AK68:AK68)</f>
        <v>0</v>
      </c>
      <c r="AU67" s="63">
        <f>SUM(AL68:AL68)</f>
        <v>0</v>
      </c>
    </row>
    <row r="68" spans="1:71" ht="15" customHeight="1">
      <c r="A68" s="19" t="s">
        <v>753</v>
      </c>
      <c r="B68" s="59" t="s">
        <v>1209</v>
      </c>
      <c r="C68" s="76" t="s">
        <v>727</v>
      </c>
      <c r="D68" s="76"/>
      <c r="E68" s="76"/>
      <c r="F68" s="76"/>
      <c r="G68" s="59" t="s">
        <v>852</v>
      </c>
      <c r="H68" s="40">
        <v>1</v>
      </c>
      <c r="I68" s="40">
        <v>0</v>
      </c>
      <c r="J68" s="40">
        <f>H68*AO68</f>
        <v>0</v>
      </c>
      <c r="K68" s="40">
        <f>H68*AP68</f>
        <v>0</v>
      </c>
      <c r="L68" s="40">
        <f>H68*I68</f>
        <v>0</v>
      </c>
      <c r="M68" s="69" t="s">
        <v>868</v>
      </c>
      <c r="Z68" s="40">
        <f>IF(AQ68="5",BJ68,0)</f>
        <v>0</v>
      </c>
      <c r="AB68" s="40">
        <f>IF(AQ68="1",BH68,0)</f>
        <v>0</v>
      </c>
      <c r="AC68" s="40">
        <f>IF(AQ68="1",BI68,0)</f>
        <v>0</v>
      </c>
      <c r="AD68" s="40">
        <f>IF(AQ68="7",BH68,0)</f>
        <v>0</v>
      </c>
      <c r="AE68" s="40">
        <f>IF(AQ68="7",BI68,0)</f>
        <v>0</v>
      </c>
      <c r="AF68" s="40">
        <f>IF(AQ68="2",BH68,0)</f>
        <v>0</v>
      </c>
      <c r="AG68" s="40">
        <f>IF(AQ68="2",BI68,0)</f>
        <v>0</v>
      </c>
      <c r="AH68" s="40">
        <f>IF(AQ68="0",BJ68,0)</f>
        <v>0</v>
      </c>
      <c r="AI68" s="11" t="s">
        <v>1302</v>
      </c>
      <c r="AJ68" s="40">
        <f>IF(AN68=0,L68,0)</f>
        <v>0</v>
      </c>
      <c r="AK68" s="40">
        <f>IF(AN68=15,L68,0)</f>
        <v>0</v>
      </c>
      <c r="AL68" s="40">
        <f>IF(AN68=21,L68,0)</f>
        <v>0</v>
      </c>
      <c r="AN68" s="40">
        <v>21</v>
      </c>
      <c r="AO68" s="40">
        <f>I68*0</f>
        <v>0</v>
      </c>
      <c r="AP68" s="40">
        <f>I68*(1-0)</f>
        <v>0</v>
      </c>
      <c r="AQ68" s="17" t="s">
        <v>578</v>
      </c>
      <c r="AV68" s="40">
        <f>AW68+AX68</f>
        <v>0</v>
      </c>
      <c r="AW68" s="40">
        <f>H68*AO68</f>
        <v>0</v>
      </c>
      <c r="AX68" s="40">
        <f>H68*AP68</f>
        <v>0</v>
      </c>
      <c r="AY68" s="17" t="s">
        <v>1234</v>
      </c>
      <c r="AZ68" s="17" t="s">
        <v>200</v>
      </c>
      <c r="BA68" s="11" t="s">
        <v>698</v>
      </c>
      <c r="BC68" s="40">
        <f>AW68+AX68</f>
        <v>0</v>
      </c>
      <c r="BD68" s="40">
        <f>I68/(100-BE68)*100</f>
        <v>0</v>
      </c>
      <c r="BE68" s="40">
        <v>0</v>
      </c>
      <c r="BF68" s="40">
        <f>68</f>
        <v>68</v>
      </c>
      <c r="BH68" s="40">
        <f>H68*AO68</f>
        <v>0</v>
      </c>
      <c r="BI68" s="40">
        <f>H68*AP68</f>
        <v>0</v>
      </c>
      <c r="BJ68" s="40">
        <f>H68*I68</f>
        <v>0</v>
      </c>
      <c r="BK68" s="40"/>
      <c r="BL68" s="40"/>
      <c r="BS68" s="40">
        <f>H68*I68</f>
        <v>0</v>
      </c>
    </row>
    <row r="69" spans="1:13" ht="15" customHeight="1">
      <c r="A69" s="24" t="s">
        <v>878</v>
      </c>
      <c r="B69" s="66" t="s">
        <v>878</v>
      </c>
      <c r="C69" s="92" t="s">
        <v>1436</v>
      </c>
      <c r="D69" s="92"/>
      <c r="E69" s="92"/>
      <c r="F69" s="92"/>
      <c r="G69" s="3" t="s">
        <v>1172</v>
      </c>
      <c r="H69" s="3" t="s">
        <v>1172</v>
      </c>
      <c r="I69" s="3" t="s">
        <v>1172</v>
      </c>
      <c r="J69" s="63">
        <f>J70+J72+J74+J77+J79+J82+J87+J90</f>
        <v>0</v>
      </c>
      <c r="K69" s="63">
        <f>K70+K72+K74+K77+K79+K82+K87+K90</f>
        <v>0</v>
      </c>
      <c r="L69" s="63">
        <f>L70+L72+L74+L77+L79+L82+L87+L90</f>
        <v>0</v>
      </c>
      <c r="M69" s="4" t="s">
        <v>878</v>
      </c>
    </row>
    <row r="70" spans="1:47" ht="15" customHeight="1">
      <c r="A70" s="24" t="s">
        <v>878</v>
      </c>
      <c r="B70" s="66" t="s">
        <v>1054</v>
      </c>
      <c r="C70" s="92" t="s">
        <v>690</v>
      </c>
      <c r="D70" s="92"/>
      <c r="E70" s="92"/>
      <c r="F70" s="92"/>
      <c r="G70" s="3" t="s">
        <v>1172</v>
      </c>
      <c r="H70" s="3" t="s">
        <v>1172</v>
      </c>
      <c r="I70" s="3" t="s">
        <v>1172</v>
      </c>
      <c r="J70" s="63">
        <f>SUM(J71:J71)</f>
        <v>0</v>
      </c>
      <c r="K70" s="63">
        <f>SUM(K71:K71)</f>
        <v>0</v>
      </c>
      <c r="L70" s="63">
        <f>SUM(L71:L71)</f>
        <v>0</v>
      </c>
      <c r="M70" s="4" t="s">
        <v>878</v>
      </c>
      <c r="AI70" s="11" t="s">
        <v>1420</v>
      </c>
      <c r="AS70" s="63">
        <f>SUM(AJ71:AJ71)</f>
        <v>0</v>
      </c>
      <c r="AT70" s="63">
        <f>SUM(AK71:AK71)</f>
        <v>0</v>
      </c>
      <c r="AU70" s="63">
        <f>SUM(AL71:AL71)</f>
        <v>0</v>
      </c>
    </row>
    <row r="71" spans="1:64" ht="15" customHeight="1">
      <c r="A71" s="19" t="s">
        <v>1060</v>
      </c>
      <c r="B71" s="59" t="s">
        <v>516</v>
      </c>
      <c r="C71" s="76" t="s">
        <v>828</v>
      </c>
      <c r="D71" s="76"/>
      <c r="E71" s="76"/>
      <c r="F71" s="76"/>
      <c r="G71" s="59" t="s">
        <v>1243</v>
      </c>
      <c r="H71" s="40">
        <v>2985</v>
      </c>
      <c r="I71" s="40">
        <v>0</v>
      </c>
      <c r="J71" s="40">
        <f>H71*AO71</f>
        <v>0</v>
      </c>
      <c r="K71" s="40">
        <f>H71*AP71</f>
        <v>0</v>
      </c>
      <c r="L71" s="40">
        <f>H71*I71</f>
        <v>0</v>
      </c>
      <c r="M71" s="69" t="s">
        <v>868</v>
      </c>
      <c r="Z71" s="40">
        <f>IF(AQ71="5",BJ71,0)</f>
        <v>0</v>
      </c>
      <c r="AB71" s="40">
        <f>IF(AQ71="1",BH71,0)</f>
        <v>0</v>
      </c>
      <c r="AC71" s="40">
        <f>IF(AQ71="1",BI71,0)</f>
        <v>0</v>
      </c>
      <c r="AD71" s="40">
        <f>IF(AQ71="7",BH71,0)</f>
        <v>0</v>
      </c>
      <c r="AE71" s="40">
        <f>IF(AQ71="7",BI71,0)</f>
        <v>0</v>
      </c>
      <c r="AF71" s="40">
        <f>IF(AQ71="2",BH71,0)</f>
        <v>0</v>
      </c>
      <c r="AG71" s="40">
        <f>IF(AQ71="2",BI71,0)</f>
        <v>0</v>
      </c>
      <c r="AH71" s="40">
        <f>IF(AQ71="0",BJ71,0)</f>
        <v>0</v>
      </c>
      <c r="AI71" s="11" t="s">
        <v>1420</v>
      </c>
      <c r="AJ71" s="40">
        <f>IF(AN71=0,L71,0)</f>
        <v>0</v>
      </c>
      <c r="AK71" s="40">
        <f>IF(AN71=15,L71,0)</f>
        <v>0</v>
      </c>
      <c r="AL71" s="40">
        <f>IF(AN71=21,L71,0)</f>
        <v>0</v>
      </c>
      <c r="AN71" s="40">
        <v>21</v>
      </c>
      <c r="AO71" s="40">
        <f>I71*0.0219207592209834</f>
        <v>0</v>
      </c>
      <c r="AP71" s="40">
        <f>I71*(1-0.0219207592209834)</f>
        <v>0</v>
      </c>
      <c r="AQ71" s="17" t="s">
        <v>1260</v>
      </c>
      <c r="AV71" s="40">
        <f>AW71+AX71</f>
        <v>0</v>
      </c>
      <c r="AW71" s="40">
        <f>H71*AO71</f>
        <v>0</v>
      </c>
      <c r="AX71" s="40">
        <f>H71*AP71</f>
        <v>0</v>
      </c>
      <c r="AY71" s="17" t="s">
        <v>144</v>
      </c>
      <c r="AZ71" s="17" t="s">
        <v>1155</v>
      </c>
      <c r="BA71" s="11" t="s">
        <v>1159</v>
      </c>
      <c r="BC71" s="40">
        <f>AW71+AX71</f>
        <v>0</v>
      </c>
      <c r="BD71" s="40">
        <f>I71/(100-BE71)*100</f>
        <v>0</v>
      </c>
      <c r="BE71" s="40">
        <v>0</v>
      </c>
      <c r="BF71" s="40">
        <f>71</f>
        <v>71</v>
      </c>
      <c r="BH71" s="40">
        <f>H71*AO71</f>
        <v>0</v>
      </c>
      <c r="BI71" s="40">
        <f>H71*AP71</f>
        <v>0</v>
      </c>
      <c r="BJ71" s="40">
        <f>H71*I71</f>
        <v>0</v>
      </c>
      <c r="BK71" s="40"/>
      <c r="BL71" s="40">
        <v>11</v>
      </c>
    </row>
    <row r="72" spans="1:47" ht="15" customHeight="1">
      <c r="A72" s="24" t="s">
        <v>878</v>
      </c>
      <c r="B72" s="66" t="s">
        <v>1015</v>
      </c>
      <c r="C72" s="92" t="s">
        <v>1278</v>
      </c>
      <c r="D72" s="92"/>
      <c r="E72" s="92"/>
      <c r="F72" s="92"/>
      <c r="G72" s="3" t="s">
        <v>1172</v>
      </c>
      <c r="H72" s="3" t="s">
        <v>1172</v>
      </c>
      <c r="I72" s="3" t="s">
        <v>1172</v>
      </c>
      <c r="J72" s="63">
        <f>SUM(J73:J73)</f>
        <v>0</v>
      </c>
      <c r="K72" s="63">
        <f>SUM(K73:K73)</f>
        <v>0</v>
      </c>
      <c r="L72" s="63">
        <f>SUM(L73:L73)</f>
        <v>0</v>
      </c>
      <c r="M72" s="4" t="s">
        <v>878</v>
      </c>
      <c r="AI72" s="11" t="s">
        <v>1420</v>
      </c>
      <c r="AS72" s="63">
        <f>SUM(AJ73:AJ73)</f>
        <v>0</v>
      </c>
      <c r="AT72" s="63">
        <f>SUM(AK73:AK73)</f>
        <v>0</v>
      </c>
      <c r="AU72" s="63">
        <f>SUM(AL73:AL73)</f>
        <v>0</v>
      </c>
    </row>
    <row r="73" spans="1:64" ht="15" customHeight="1">
      <c r="A73" s="19" t="s">
        <v>270</v>
      </c>
      <c r="B73" s="59" t="s">
        <v>957</v>
      </c>
      <c r="C73" s="76" t="s">
        <v>779</v>
      </c>
      <c r="D73" s="76"/>
      <c r="E73" s="76"/>
      <c r="F73" s="76"/>
      <c r="G73" s="59" t="s">
        <v>1243</v>
      </c>
      <c r="H73" s="40">
        <v>3020</v>
      </c>
      <c r="I73" s="40">
        <v>0</v>
      </c>
      <c r="J73" s="40">
        <f>H73*AO73</f>
        <v>0</v>
      </c>
      <c r="K73" s="40">
        <f>H73*AP73</f>
        <v>0</v>
      </c>
      <c r="L73" s="40">
        <f>H73*I73</f>
        <v>0</v>
      </c>
      <c r="M73" s="69" t="s">
        <v>868</v>
      </c>
      <c r="Z73" s="40">
        <f>IF(AQ73="5",BJ73,0)</f>
        <v>0</v>
      </c>
      <c r="AB73" s="40">
        <f>IF(AQ73="1",BH73,0)</f>
        <v>0</v>
      </c>
      <c r="AC73" s="40">
        <f>IF(AQ73="1",BI73,0)</f>
        <v>0</v>
      </c>
      <c r="AD73" s="40">
        <f>IF(AQ73="7",BH73,0)</f>
        <v>0</v>
      </c>
      <c r="AE73" s="40">
        <f>IF(AQ73="7",BI73,0)</f>
        <v>0</v>
      </c>
      <c r="AF73" s="40">
        <f>IF(AQ73="2",BH73,0)</f>
        <v>0</v>
      </c>
      <c r="AG73" s="40">
        <f>IF(AQ73="2",BI73,0)</f>
        <v>0</v>
      </c>
      <c r="AH73" s="40">
        <f>IF(AQ73="0",BJ73,0)</f>
        <v>0</v>
      </c>
      <c r="AI73" s="11" t="s">
        <v>1420</v>
      </c>
      <c r="AJ73" s="40">
        <f>IF(AN73=0,L73,0)</f>
        <v>0</v>
      </c>
      <c r="AK73" s="40">
        <f>IF(AN73=15,L73,0)</f>
        <v>0</v>
      </c>
      <c r="AL73" s="40">
        <f>IF(AN73=21,L73,0)</f>
        <v>0</v>
      </c>
      <c r="AN73" s="40">
        <v>21</v>
      </c>
      <c r="AO73" s="40">
        <f>I73*0</f>
        <v>0</v>
      </c>
      <c r="AP73" s="40">
        <f>I73*(1-0)</f>
        <v>0</v>
      </c>
      <c r="AQ73" s="17" t="s">
        <v>1260</v>
      </c>
      <c r="AV73" s="40">
        <f>AW73+AX73</f>
        <v>0</v>
      </c>
      <c r="AW73" s="40">
        <f>H73*AO73</f>
        <v>0</v>
      </c>
      <c r="AX73" s="40">
        <f>H73*AP73</f>
        <v>0</v>
      </c>
      <c r="AY73" s="17" t="s">
        <v>614</v>
      </c>
      <c r="AZ73" s="17" t="s">
        <v>1155</v>
      </c>
      <c r="BA73" s="11" t="s">
        <v>1159</v>
      </c>
      <c r="BC73" s="40">
        <f>AW73+AX73</f>
        <v>0</v>
      </c>
      <c r="BD73" s="40">
        <f>I73/(100-BE73)*100</f>
        <v>0</v>
      </c>
      <c r="BE73" s="40">
        <v>0</v>
      </c>
      <c r="BF73" s="40">
        <f>73</f>
        <v>73</v>
      </c>
      <c r="BH73" s="40">
        <f>H73*AO73</f>
        <v>0</v>
      </c>
      <c r="BI73" s="40">
        <f>H73*AP73</f>
        <v>0</v>
      </c>
      <c r="BJ73" s="40">
        <f>H73*I73</f>
        <v>0</v>
      </c>
      <c r="BK73" s="40"/>
      <c r="BL73" s="40">
        <v>18</v>
      </c>
    </row>
    <row r="74" spans="1:47" ht="15" customHeight="1">
      <c r="A74" s="24" t="s">
        <v>878</v>
      </c>
      <c r="B74" s="66" t="s">
        <v>897</v>
      </c>
      <c r="C74" s="92" t="s">
        <v>425</v>
      </c>
      <c r="D74" s="92"/>
      <c r="E74" s="92"/>
      <c r="F74" s="92"/>
      <c r="G74" s="3" t="s">
        <v>1172</v>
      </c>
      <c r="H74" s="3" t="s">
        <v>1172</v>
      </c>
      <c r="I74" s="3" t="s">
        <v>1172</v>
      </c>
      <c r="J74" s="63">
        <f>SUM(J75:J76)</f>
        <v>0</v>
      </c>
      <c r="K74" s="63">
        <f>SUM(K75:K76)</f>
        <v>0</v>
      </c>
      <c r="L74" s="63">
        <f>SUM(L75:L76)</f>
        <v>0</v>
      </c>
      <c r="M74" s="4" t="s">
        <v>878</v>
      </c>
      <c r="AI74" s="11" t="s">
        <v>1420</v>
      </c>
      <c r="AS74" s="63">
        <f>SUM(AJ75:AJ76)</f>
        <v>0</v>
      </c>
      <c r="AT74" s="63">
        <f>SUM(AK75:AK76)</f>
        <v>0</v>
      </c>
      <c r="AU74" s="63">
        <f>SUM(AL75:AL76)</f>
        <v>0</v>
      </c>
    </row>
    <row r="75" spans="1:64" ht="15" customHeight="1">
      <c r="A75" s="19" t="s">
        <v>1402</v>
      </c>
      <c r="B75" s="59" t="s">
        <v>728</v>
      </c>
      <c r="C75" s="76" t="s">
        <v>745</v>
      </c>
      <c r="D75" s="76"/>
      <c r="E75" s="76"/>
      <c r="F75" s="76"/>
      <c r="G75" s="59" t="s">
        <v>1243</v>
      </c>
      <c r="H75" s="40">
        <v>3020</v>
      </c>
      <c r="I75" s="40">
        <v>0</v>
      </c>
      <c r="J75" s="40">
        <f>H75*AO75</f>
        <v>0</v>
      </c>
      <c r="K75" s="40">
        <f>H75*AP75</f>
        <v>0</v>
      </c>
      <c r="L75" s="40">
        <f>H75*I75</f>
        <v>0</v>
      </c>
      <c r="M75" s="69" t="s">
        <v>868</v>
      </c>
      <c r="Z75" s="40">
        <f>IF(AQ75="5",BJ75,0)</f>
        <v>0</v>
      </c>
      <c r="AB75" s="40">
        <f>IF(AQ75="1",BH75,0)</f>
        <v>0</v>
      </c>
      <c r="AC75" s="40">
        <f>IF(AQ75="1",BI75,0)</f>
        <v>0</v>
      </c>
      <c r="AD75" s="40">
        <f>IF(AQ75="7",BH75,0)</f>
        <v>0</v>
      </c>
      <c r="AE75" s="40">
        <f>IF(AQ75="7",BI75,0)</f>
        <v>0</v>
      </c>
      <c r="AF75" s="40">
        <f>IF(AQ75="2",BH75,0)</f>
        <v>0</v>
      </c>
      <c r="AG75" s="40">
        <f>IF(AQ75="2",BI75,0)</f>
        <v>0</v>
      </c>
      <c r="AH75" s="40">
        <f>IF(AQ75="0",BJ75,0)</f>
        <v>0</v>
      </c>
      <c r="AI75" s="11" t="s">
        <v>1420</v>
      </c>
      <c r="AJ75" s="40">
        <f>IF(AN75=0,L75,0)</f>
        <v>0</v>
      </c>
      <c r="AK75" s="40">
        <f>IF(AN75=15,L75,0)</f>
        <v>0</v>
      </c>
      <c r="AL75" s="40">
        <f>IF(AN75=21,L75,0)</f>
        <v>0</v>
      </c>
      <c r="AN75" s="40">
        <v>21</v>
      </c>
      <c r="AO75" s="40">
        <f>I75*0</f>
        <v>0</v>
      </c>
      <c r="AP75" s="40">
        <f>I75*(1-0)</f>
        <v>0</v>
      </c>
      <c r="AQ75" s="17" t="s">
        <v>1260</v>
      </c>
      <c r="AV75" s="40">
        <f>AW75+AX75</f>
        <v>0</v>
      </c>
      <c r="AW75" s="40">
        <f>H75*AO75</f>
        <v>0</v>
      </c>
      <c r="AX75" s="40">
        <f>H75*AP75</f>
        <v>0</v>
      </c>
      <c r="AY75" s="17" t="s">
        <v>780</v>
      </c>
      <c r="AZ75" s="17" t="s">
        <v>504</v>
      </c>
      <c r="BA75" s="11" t="s">
        <v>1159</v>
      </c>
      <c r="BC75" s="40">
        <f>AW75+AX75</f>
        <v>0</v>
      </c>
      <c r="BD75" s="40">
        <f>I75/(100-BE75)*100</f>
        <v>0</v>
      </c>
      <c r="BE75" s="40">
        <v>0</v>
      </c>
      <c r="BF75" s="40">
        <f>75</f>
        <v>75</v>
      </c>
      <c r="BH75" s="40">
        <f>H75*AO75</f>
        <v>0</v>
      </c>
      <c r="BI75" s="40">
        <f>H75*AP75</f>
        <v>0</v>
      </c>
      <c r="BJ75" s="40">
        <f>H75*I75</f>
        <v>0</v>
      </c>
      <c r="BK75" s="40"/>
      <c r="BL75" s="40">
        <v>21</v>
      </c>
    </row>
    <row r="76" spans="1:64" ht="15" customHeight="1">
      <c r="A76" s="19" t="s">
        <v>1117</v>
      </c>
      <c r="B76" s="59" t="s">
        <v>376</v>
      </c>
      <c r="C76" s="76" t="s">
        <v>1361</v>
      </c>
      <c r="D76" s="76"/>
      <c r="E76" s="76"/>
      <c r="F76" s="76"/>
      <c r="G76" s="59" t="s">
        <v>1041</v>
      </c>
      <c r="H76" s="40">
        <v>910</v>
      </c>
      <c r="I76" s="40">
        <v>0</v>
      </c>
      <c r="J76" s="40">
        <f>H76*AO76</f>
        <v>0</v>
      </c>
      <c r="K76" s="40">
        <f>H76*AP76</f>
        <v>0</v>
      </c>
      <c r="L76" s="40">
        <f>H76*I76</f>
        <v>0</v>
      </c>
      <c r="M76" s="69" t="s">
        <v>868</v>
      </c>
      <c r="Z76" s="40">
        <f>IF(AQ76="5",BJ76,0)</f>
        <v>0</v>
      </c>
      <c r="AB76" s="40">
        <f>IF(AQ76="1",BH76,0)</f>
        <v>0</v>
      </c>
      <c r="AC76" s="40">
        <f>IF(AQ76="1",BI76,0)</f>
        <v>0</v>
      </c>
      <c r="AD76" s="40">
        <f>IF(AQ76="7",BH76,0)</f>
        <v>0</v>
      </c>
      <c r="AE76" s="40">
        <f>IF(AQ76="7",BI76,0)</f>
        <v>0</v>
      </c>
      <c r="AF76" s="40">
        <f>IF(AQ76="2",BH76,0)</f>
        <v>0</v>
      </c>
      <c r="AG76" s="40">
        <f>IF(AQ76="2",BI76,0)</f>
        <v>0</v>
      </c>
      <c r="AH76" s="40">
        <f>IF(AQ76="0",BJ76,0)</f>
        <v>0</v>
      </c>
      <c r="AI76" s="11" t="s">
        <v>1420</v>
      </c>
      <c r="AJ76" s="40">
        <f>IF(AN76=0,L76,0)</f>
        <v>0</v>
      </c>
      <c r="AK76" s="40">
        <f>IF(AN76=15,L76,0)</f>
        <v>0</v>
      </c>
      <c r="AL76" s="40">
        <f>IF(AN76=21,L76,0)</f>
        <v>0</v>
      </c>
      <c r="AN76" s="40">
        <v>21</v>
      </c>
      <c r="AO76" s="40">
        <f>I76*0.531695364238411</f>
        <v>0</v>
      </c>
      <c r="AP76" s="40">
        <f>I76*(1-0.531695364238411)</f>
        <v>0</v>
      </c>
      <c r="AQ76" s="17" t="s">
        <v>1260</v>
      </c>
      <c r="AV76" s="40">
        <f>AW76+AX76</f>
        <v>0</v>
      </c>
      <c r="AW76" s="40">
        <f>H76*AO76</f>
        <v>0</v>
      </c>
      <c r="AX76" s="40">
        <f>H76*AP76</f>
        <v>0</v>
      </c>
      <c r="AY76" s="17" t="s">
        <v>780</v>
      </c>
      <c r="AZ76" s="17" t="s">
        <v>504</v>
      </c>
      <c r="BA76" s="11" t="s">
        <v>1159</v>
      </c>
      <c r="BC76" s="40">
        <f>AW76+AX76</f>
        <v>0</v>
      </c>
      <c r="BD76" s="40">
        <f>I76/(100-BE76)*100</f>
        <v>0</v>
      </c>
      <c r="BE76" s="40">
        <v>0</v>
      </c>
      <c r="BF76" s="40">
        <f>76</f>
        <v>76</v>
      </c>
      <c r="BH76" s="40">
        <f>H76*AO76</f>
        <v>0</v>
      </c>
      <c r="BI76" s="40">
        <f>H76*AP76</f>
        <v>0</v>
      </c>
      <c r="BJ76" s="40">
        <f>H76*I76</f>
        <v>0</v>
      </c>
      <c r="BK76" s="40"/>
      <c r="BL76" s="40">
        <v>21</v>
      </c>
    </row>
    <row r="77" spans="1:47" ht="15" customHeight="1">
      <c r="A77" s="24" t="s">
        <v>878</v>
      </c>
      <c r="B77" s="66" t="s">
        <v>1373</v>
      </c>
      <c r="C77" s="92" t="s">
        <v>695</v>
      </c>
      <c r="D77" s="92"/>
      <c r="E77" s="92"/>
      <c r="F77" s="92"/>
      <c r="G77" s="3" t="s">
        <v>1172</v>
      </c>
      <c r="H77" s="3" t="s">
        <v>1172</v>
      </c>
      <c r="I77" s="3" t="s">
        <v>1172</v>
      </c>
      <c r="J77" s="63">
        <f>SUM(J78:J78)</f>
        <v>0</v>
      </c>
      <c r="K77" s="63">
        <f>SUM(K78:K78)</f>
        <v>0</v>
      </c>
      <c r="L77" s="63">
        <f>SUM(L78:L78)</f>
        <v>0</v>
      </c>
      <c r="M77" s="4" t="s">
        <v>878</v>
      </c>
      <c r="AI77" s="11" t="s">
        <v>1420</v>
      </c>
      <c r="AS77" s="63">
        <f>SUM(AJ78:AJ78)</f>
        <v>0</v>
      </c>
      <c r="AT77" s="63">
        <f>SUM(AK78:AK78)</f>
        <v>0</v>
      </c>
      <c r="AU77" s="63">
        <f>SUM(AL78:AL78)</f>
        <v>0</v>
      </c>
    </row>
    <row r="78" spans="1:64" ht="15" customHeight="1">
      <c r="A78" s="19" t="s">
        <v>743</v>
      </c>
      <c r="B78" s="59" t="s">
        <v>830</v>
      </c>
      <c r="C78" s="76" t="s">
        <v>1079</v>
      </c>
      <c r="D78" s="76"/>
      <c r="E78" s="76"/>
      <c r="F78" s="76"/>
      <c r="G78" s="59" t="s">
        <v>1243</v>
      </c>
      <c r="H78" s="40">
        <v>2374</v>
      </c>
      <c r="I78" s="40">
        <v>0</v>
      </c>
      <c r="J78" s="40">
        <f>H78*AO78</f>
        <v>0</v>
      </c>
      <c r="K78" s="40">
        <f>H78*AP78</f>
        <v>0</v>
      </c>
      <c r="L78" s="40">
        <f>H78*I78</f>
        <v>0</v>
      </c>
      <c r="M78" s="69" t="s">
        <v>868</v>
      </c>
      <c r="Z78" s="40">
        <f>IF(AQ78="5",BJ78,0)</f>
        <v>0</v>
      </c>
      <c r="AB78" s="40">
        <f>IF(AQ78="1",BH78,0)</f>
        <v>0</v>
      </c>
      <c r="AC78" s="40">
        <f>IF(AQ78="1",BI78,0)</f>
        <v>0</v>
      </c>
      <c r="AD78" s="40">
        <f>IF(AQ78="7",BH78,0)</f>
        <v>0</v>
      </c>
      <c r="AE78" s="40">
        <f>IF(AQ78="7",BI78,0)</f>
        <v>0</v>
      </c>
      <c r="AF78" s="40">
        <f>IF(AQ78="2",BH78,0)</f>
        <v>0</v>
      </c>
      <c r="AG78" s="40">
        <f>IF(AQ78="2",BI78,0)</f>
        <v>0</v>
      </c>
      <c r="AH78" s="40">
        <f>IF(AQ78="0",BJ78,0)</f>
        <v>0</v>
      </c>
      <c r="AI78" s="11" t="s">
        <v>1420</v>
      </c>
      <c r="AJ78" s="40">
        <f>IF(AN78=0,L78,0)</f>
        <v>0</v>
      </c>
      <c r="AK78" s="40">
        <f>IF(AN78=15,L78,0)</f>
        <v>0</v>
      </c>
      <c r="AL78" s="40">
        <f>IF(AN78=21,L78,0)</f>
        <v>0</v>
      </c>
      <c r="AN78" s="40">
        <v>21</v>
      </c>
      <c r="AO78" s="40">
        <f>I78*0.025451180009255</f>
        <v>0</v>
      </c>
      <c r="AP78" s="40">
        <f>I78*(1-0.025451180009255)</f>
        <v>0</v>
      </c>
      <c r="AQ78" s="17" t="s">
        <v>1260</v>
      </c>
      <c r="AV78" s="40">
        <f>AW78+AX78</f>
        <v>0</v>
      </c>
      <c r="AW78" s="40">
        <f>H78*AO78</f>
        <v>0</v>
      </c>
      <c r="AX78" s="40">
        <f>H78*AP78</f>
        <v>0</v>
      </c>
      <c r="AY78" s="17" t="s">
        <v>560</v>
      </c>
      <c r="AZ78" s="17" t="s">
        <v>504</v>
      </c>
      <c r="BA78" s="11" t="s">
        <v>1159</v>
      </c>
      <c r="BC78" s="40">
        <f>AW78+AX78</f>
        <v>0</v>
      </c>
      <c r="BD78" s="40">
        <f>I78/(100-BE78)*100</f>
        <v>0</v>
      </c>
      <c r="BE78" s="40">
        <v>0</v>
      </c>
      <c r="BF78" s="40">
        <f>78</f>
        <v>78</v>
      </c>
      <c r="BH78" s="40">
        <f>H78*AO78</f>
        <v>0</v>
      </c>
      <c r="BI78" s="40">
        <f>H78*AP78</f>
        <v>0</v>
      </c>
      <c r="BJ78" s="40">
        <f>H78*I78</f>
        <v>0</v>
      </c>
      <c r="BK78" s="40"/>
      <c r="BL78" s="40">
        <v>28</v>
      </c>
    </row>
    <row r="79" spans="1:47" ht="15" customHeight="1">
      <c r="A79" s="24" t="s">
        <v>878</v>
      </c>
      <c r="B79" s="66" t="s">
        <v>801</v>
      </c>
      <c r="C79" s="92" t="s">
        <v>1165</v>
      </c>
      <c r="D79" s="92"/>
      <c r="E79" s="92"/>
      <c r="F79" s="92"/>
      <c r="G79" s="3" t="s">
        <v>1172</v>
      </c>
      <c r="H79" s="3" t="s">
        <v>1172</v>
      </c>
      <c r="I79" s="3" t="s">
        <v>1172</v>
      </c>
      <c r="J79" s="63">
        <f>SUM(J80:J81)</f>
        <v>0</v>
      </c>
      <c r="K79" s="63">
        <f>SUM(K80:K81)</f>
        <v>0</v>
      </c>
      <c r="L79" s="63">
        <f>SUM(L80:L81)</f>
        <v>0</v>
      </c>
      <c r="M79" s="4" t="s">
        <v>878</v>
      </c>
      <c r="AI79" s="11" t="s">
        <v>1420</v>
      </c>
      <c r="AS79" s="63">
        <f>SUM(AJ80:AJ81)</f>
        <v>0</v>
      </c>
      <c r="AT79" s="63">
        <f>SUM(AK80:AK81)</f>
        <v>0</v>
      </c>
      <c r="AU79" s="63">
        <f>SUM(AL80:AL81)</f>
        <v>0</v>
      </c>
    </row>
    <row r="80" spans="1:64" ht="15" customHeight="1">
      <c r="A80" s="19" t="s">
        <v>1241</v>
      </c>
      <c r="B80" s="59" t="s">
        <v>70</v>
      </c>
      <c r="C80" s="76" t="s">
        <v>1206</v>
      </c>
      <c r="D80" s="76"/>
      <c r="E80" s="76"/>
      <c r="F80" s="76"/>
      <c r="G80" s="59" t="s">
        <v>1243</v>
      </c>
      <c r="H80" s="40">
        <v>2985</v>
      </c>
      <c r="I80" s="40">
        <v>0</v>
      </c>
      <c r="J80" s="40">
        <f>H80*AO80</f>
        <v>0</v>
      </c>
      <c r="K80" s="40">
        <f>H80*AP80</f>
        <v>0</v>
      </c>
      <c r="L80" s="40">
        <f>H80*I80</f>
        <v>0</v>
      </c>
      <c r="M80" s="69" t="s">
        <v>868</v>
      </c>
      <c r="Z80" s="40">
        <f>IF(AQ80="5",BJ80,0)</f>
        <v>0</v>
      </c>
      <c r="AB80" s="40">
        <f>IF(AQ80="1",BH80,0)</f>
        <v>0</v>
      </c>
      <c r="AC80" s="40">
        <f>IF(AQ80="1",BI80,0)</f>
        <v>0</v>
      </c>
      <c r="AD80" s="40">
        <f>IF(AQ80="7",BH80,0)</f>
        <v>0</v>
      </c>
      <c r="AE80" s="40">
        <f>IF(AQ80="7",BI80,0)</f>
        <v>0</v>
      </c>
      <c r="AF80" s="40">
        <f>IF(AQ80="2",BH80,0)</f>
        <v>0</v>
      </c>
      <c r="AG80" s="40">
        <f>IF(AQ80="2",BI80,0)</f>
        <v>0</v>
      </c>
      <c r="AH80" s="40">
        <f>IF(AQ80="0",BJ80,0)</f>
        <v>0</v>
      </c>
      <c r="AI80" s="11" t="s">
        <v>1420</v>
      </c>
      <c r="AJ80" s="40">
        <f>IF(AN80=0,L80,0)</f>
        <v>0</v>
      </c>
      <c r="AK80" s="40">
        <f>IF(AN80=15,L80,0)</f>
        <v>0</v>
      </c>
      <c r="AL80" s="40">
        <f>IF(AN80=21,L80,0)</f>
        <v>0</v>
      </c>
      <c r="AN80" s="40">
        <v>21</v>
      </c>
      <c r="AO80" s="40">
        <f>I80*0.843549618320611</f>
        <v>0</v>
      </c>
      <c r="AP80" s="40">
        <f>I80*(1-0.843549618320611)</f>
        <v>0</v>
      </c>
      <c r="AQ80" s="17" t="s">
        <v>1260</v>
      </c>
      <c r="AV80" s="40">
        <f>AW80+AX80</f>
        <v>0</v>
      </c>
      <c r="AW80" s="40">
        <f>H80*AO80</f>
        <v>0</v>
      </c>
      <c r="AX80" s="40">
        <f>H80*AP80</f>
        <v>0</v>
      </c>
      <c r="AY80" s="17" t="s">
        <v>1312</v>
      </c>
      <c r="AZ80" s="17" t="s">
        <v>760</v>
      </c>
      <c r="BA80" s="11" t="s">
        <v>1159</v>
      </c>
      <c r="BC80" s="40">
        <f>AW80+AX80</f>
        <v>0</v>
      </c>
      <c r="BD80" s="40">
        <f>I80/(100-BE80)*100</f>
        <v>0</v>
      </c>
      <c r="BE80" s="40">
        <v>0</v>
      </c>
      <c r="BF80" s="40">
        <f>80</f>
        <v>80</v>
      </c>
      <c r="BH80" s="40">
        <f>H80*AO80</f>
        <v>0</v>
      </c>
      <c r="BI80" s="40">
        <f>H80*AP80</f>
        <v>0</v>
      </c>
      <c r="BJ80" s="40">
        <f>H80*I80</f>
        <v>0</v>
      </c>
      <c r="BK80" s="40"/>
      <c r="BL80" s="40">
        <v>56</v>
      </c>
    </row>
    <row r="81" spans="1:64" ht="15" customHeight="1">
      <c r="A81" s="19" t="s">
        <v>764</v>
      </c>
      <c r="B81" s="59" t="s">
        <v>70</v>
      </c>
      <c r="C81" s="76" t="s">
        <v>1206</v>
      </c>
      <c r="D81" s="76"/>
      <c r="E81" s="76"/>
      <c r="F81" s="76"/>
      <c r="G81" s="59" t="s">
        <v>1243</v>
      </c>
      <c r="H81" s="40">
        <v>2985</v>
      </c>
      <c r="I81" s="40">
        <v>0</v>
      </c>
      <c r="J81" s="40">
        <f>H81*AO81</f>
        <v>0</v>
      </c>
      <c r="K81" s="40">
        <f>H81*AP81</f>
        <v>0</v>
      </c>
      <c r="L81" s="40">
        <f>H81*I81</f>
        <v>0</v>
      </c>
      <c r="M81" s="69" t="s">
        <v>868</v>
      </c>
      <c r="Z81" s="40">
        <f>IF(AQ81="5",BJ81,0)</f>
        <v>0</v>
      </c>
      <c r="AB81" s="40">
        <f>IF(AQ81="1",BH81,0)</f>
        <v>0</v>
      </c>
      <c r="AC81" s="40">
        <f>IF(AQ81="1",BI81,0)</f>
        <v>0</v>
      </c>
      <c r="AD81" s="40">
        <f>IF(AQ81="7",BH81,0)</f>
        <v>0</v>
      </c>
      <c r="AE81" s="40">
        <f>IF(AQ81="7",BI81,0)</f>
        <v>0</v>
      </c>
      <c r="AF81" s="40">
        <f>IF(AQ81="2",BH81,0)</f>
        <v>0</v>
      </c>
      <c r="AG81" s="40">
        <f>IF(AQ81="2",BI81,0)</f>
        <v>0</v>
      </c>
      <c r="AH81" s="40">
        <f>IF(AQ81="0",BJ81,0)</f>
        <v>0</v>
      </c>
      <c r="AI81" s="11" t="s">
        <v>1420</v>
      </c>
      <c r="AJ81" s="40">
        <f>IF(AN81=0,L81,0)</f>
        <v>0</v>
      </c>
      <c r="AK81" s="40">
        <f>IF(AN81=15,L81,0)</f>
        <v>0</v>
      </c>
      <c r="AL81" s="40">
        <f>IF(AN81=21,L81,0)</f>
        <v>0</v>
      </c>
      <c r="AN81" s="40">
        <v>21</v>
      </c>
      <c r="AO81" s="40">
        <f>I81*0.843549618320611</f>
        <v>0</v>
      </c>
      <c r="AP81" s="40">
        <f>I81*(1-0.843549618320611)</f>
        <v>0</v>
      </c>
      <c r="AQ81" s="17" t="s">
        <v>1260</v>
      </c>
      <c r="AV81" s="40">
        <f>AW81+AX81</f>
        <v>0</v>
      </c>
      <c r="AW81" s="40">
        <f>H81*AO81</f>
        <v>0</v>
      </c>
      <c r="AX81" s="40">
        <f>H81*AP81</f>
        <v>0</v>
      </c>
      <c r="AY81" s="17" t="s">
        <v>1312</v>
      </c>
      <c r="AZ81" s="17" t="s">
        <v>760</v>
      </c>
      <c r="BA81" s="11" t="s">
        <v>1159</v>
      </c>
      <c r="BC81" s="40">
        <f>AW81+AX81</f>
        <v>0</v>
      </c>
      <c r="BD81" s="40">
        <f>I81/(100-BE81)*100</f>
        <v>0</v>
      </c>
      <c r="BE81" s="40">
        <v>0</v>
      </c>
      <c r="BF81" s="40">
        <f>81</f>
        <v>81</v>
      </c>
      <c r="BH81" s="40">
        <f>H81*AO81</f>
        <v>0</v>
      </c>
      <c r="BI81" s="40">
        <f>H81*AP81</f>
        <v>0</v>
      </c>
      <c r="BJ81" s="40">
        <f>H81*I81</f>
        <v>0</v>
      </c>
      <c r="BK81" s="40"/>
      <c r="BL81" s="40">
        <v>56</v>
      </c>
    </row>
    <row r="82" spans="1:47" ht="15" customHeight="1">
      <c r="A82" s="24" t="s">
        <v>878</v>
      </c>
      <c r="B82" s="66" t="s">
        <v>1203</v>
      </c>
      <c r="C82" s="92" t="s">
        <v>846</v>
      </c>
      <c r="D82" s="92"/>
      <c r="E82" s="92"/>
      <c r="F82" s="92"/>
      <c r="G82" s="3" t="s">
        <v>1172</v>
      </c>
      <c r="H82" s="3" t="s">
        <v>1172</v>
      </c>
      <c r="I82" s="3" t="s">
        <v>1172</v>
      </c>
      <c r="J82" s="63">
        <f>SUM(J83:J86)</f>
        <v>0</v>
      </c>
      <c r="K82" s="63">
        <f>SUM(K83:K86)</f>
        <v>0</v>
      </c>
      <c r="L82" s="63">
        <f>SUM(L83:L86)</f>
        <v>0</v>
      </c>
      <c r="M82" s="4" t="s">
        <v>878</v>
      </c>
      <c r="AI82" s="11" t="s">
        <v>1420</v>
      </c>
      <c r="AS82" s="63">
        <f>SUM(AJ83:AJ86)</f>
        <v>0</v>
      </c>
      <c r="AT82" s="63">
        <f>SUM(AK83:AK86)</f>
        <v>0</v>
      </c>
      <c r="AU82" s="63">
        <f>SUM(AL83:AL86)</f>
        <v>0</v>
      </c>
    </row>
    <row r="83" spans="1:64" ht="15" customHeight="1">
      <c r="A83" s="19" t="s">
        <v>819</v>
      </c>
      <c r="B83" s="59" t="s">
        <v>1230</v>
      </c>
      <c r="C83" s="76" t="s">
        <v>680</v>
      </c>
      <c r="D83" s="76"/>
      <c r="E83" s="76"/>
      <c r="F83" s="76"/>
      <c r="G83" s="59" t="s">
        <v>1243</v>
      </c>
      <c r="H83" s="40">
        <v>2985</v>
      </c>
      <c r="I83" s="40">
        <v>0</v>
      </c>
      <c r="J83" s="40">
        <f>H83*AO83</f>
        <v>0</v>
      </c>
      <c r="K83" s="40">
        <f>H83*AP83</f>
        <v>0</v>
      </c>
      <c r="L83" s="40">
        <f>H83*I83</f>
        <v>0</v>
      </c>
      <c r="M83" s="69" t="s">
        <v>868</v>
      </c>
      <c r="Z83" s="40">
        <f>IF(AQ83="5",BJ83,0)</f>
        <v>0</v>
      </c>
      <c r="AB83" s="40">
        <f>IF(AQ83="1",BH83,0)</f>
        <v>0</v>
      </c>
      <c r="AC83" s="40">
        <f>IF(AQ83="1",BI83,0)</f>
        <v>0</v>
      </c>
      <c r="AD83" s="40">
        <f>IF(AQ83="7",BH83,0)</f>
        <v>0</v>
      </c>
      <c r="AE83" s="40">
        <f>IF(AQ83="7",BI83,0)</f>
        <v>0</v>
      </c>
      <c r="AF83" s="40">
        <f>IF(AQ83="2",BH83,0)</f>
        <v>0</v>
      </c>
      <c r="AG83" s="40">
        <f>IF(AQ83="2",BI83,0)</f>
        <v>0</v>
      </c>
      <c r="AH83" s="40">
        <f>IF(AQ83="0",BJ83,0)</f>
        <v>0</v>
      </c>
      <c r="AI83" s="11" t="s">
        <v>1420</v>
      </c>
      <c r="AJ83" s="40">
        <f>IF(AN83=0,L83,0)</f>
        <v>0</v>
      </c>
      <c r="AK83" s="40">
        <f>IF(AN83=15,L83,0)</f>
        <v>0</v>
      </c>
      <c r="AL83" s="40">
        <f>IF(AN83=21,L83,0)</f>
        <v>0</v>
      </c>
      <c r="AN83" s="40">
        <v>21</v>
      </c>
      <c r="AO83" s="40">
        <f>I83*0.810958904109589</f>
        <v>0</v>
      </c>
      <c r="AP83" s="40">
        <f>I83*(1-0.810958904109589)</f>
        <v>0</v>
      </c>
      <c r="AQ83" s="17" t="s">
        <v>1260</v>
      </c>
      <c r="AV83" s="40">
        <f>AW83+AX83</f>
        <v>0</v>
      </c>
      <c r="AW83" s="40">
        <f>H83*AO83</f>
        <v>0</v>
      </c>
      <c r="AX83" s="40">
        <f>H83*AP83</f>
        <v>0</v>
      </c>
      <c r="AY83" s="17" t="s">
        <v>492</v>
      </c>
      <c r="AZ83" s="17" t="s">
        <v>760</v>
      </c>
      <c r="BA83" s="11" t="s">
        <v>1159</v>
      </c>
      <c r="BC83" s="40">
        <f>AW83+AX83</f>
        <v>0</v>
      </c>
      <c r="BD83" s="40">
        <f>I83/(100-BE83)*100</f>
        <v>0</v>
      </c>
      <c r="BE83" s="40">
        <v>0</v>
      </c>
      <c r="BF83" s="40">
        <f>83</f>
        <v>83</v>
      </c>
      <c r="BH83" s="40">
        <f>H83*AO83</f>
        <v>0</v>
      </c>
      <c r="BI83" s="40">
        <f>H83*AP83</f>
        <v>0</v>
      </c>
      <c r="BJ83" s="40">
        <f>H83*I83</f>
        <v>0</v>
      </c>
      <c r="BK83" s="40"/>
      <c r="BL83" s="40">
        <v>57</v>
      </c>
    </row>
    <row r="84" spans="1:64" ht="15" customHeight="1">
      <c r="A84" s="19" t="s">
        <v>433</v>
      </c>
      <c r="B84" s="59" t="s">
        <v>1127</v>
      </c>
      <c r="C84" s="76" t="s">
        <v>1176</v>
      </c>
      <c r="D84" s="76"/>
      <c r="E84" s="76"/>
      <c r="F84" s="76"/>
      <c r="G84" s="59" t="s">
        <v>1243</v>
      </c>
      <c r="H84" s="40">
        <v>2985</v>
      </c>
      <c r="I84" s="40">
        <v>0</v>
      </c>
      <c r="J84" s="40">
        <f>H84*AO84</f>
        <v>0</v>
      </c>
      <c r="K84" s="40">
        <f>H84*AP84</f>
        <v>0</v>
      </c>
      <c r="L84" s="40">
        <f>H84*I84</f>
        <v>0</v>
      </c>
      <c r="M84" s="69" t="s">
        <v>868</v>
      </c>
      <c r="Z84" s="40">
        <f>IF(AQ84="5",BJ84,0)</f>
        <v>0</v>
      </c>
      <c r="AB84" s="40">
        <f>IF(AQ84="1",BH84,0)</f>
        <v>0</v>
      </c>
      <c r="AC84" s="40">
        <f>IF(AQ84="1",BI84,0)</f>
        <v>0</v>
      </c>
      <c r="AD84" s="40">
        <f>IF(AQ84="7",BH84,0)</f>
        <v>0</v>
      </c>
      <c r="AE84" s="40">
        <f>IF(AQ84="7",BI84,0)</f>
        <v>0</v>
      </c>
      <c r="AF84" s="40">
        <f>IF(AQ84="2",BH84,0)</f>
        <v>0</v>
      </c>
      <c r="AG84" s="40">
        <f>IF(AQ84="2",BI84,0)</f>
        <v>0</v>
      </c>
      <c r="AH84" s="40">
        <f>IF(AQ84="0",BJ84,0)</f>
        <v>0</v>
      </c>
      <c r="AI84" s="11" t="s">
        <v>1420</v>
      </c>
      <c r="AJ84" s="40">
        <f>IF(AN84=0,L84,0)</f>
        <v>0</v>
      </c>
      <c r="AK84" s="40">
        <f>IF(AN84=15,L84,0)</f>
        <v>0</v>
      </c>
      <c r="AL84" s="40">
        <f>IF(AN84=21,L84,0)</f>
        <v>0</v>
      </c>
      <c r="AN84" s="40">
        <v>21</v>
      </c>
      <c r="AO84" s="40">
        <f>I84*0.88329592818211</f>
        <v>0</v>
      </c>
      <c r="AP84" s="40">
        <f>I84*(1-0.88329592818211)</f>
        <v>0</v>
      </c>
      <c r="AQ84" s="17" t="s">
        <v>1260</v>
      </c>
      <c r="AV84" s="40">
        <f>AW84+AX84</f>
        <v>0</v>
      </c>
      <c r="AW84" s="40">
        <f>H84*AO84</f>
        <v>0</v>
      </c>
      <c r="AX84" s="40">
        <f>H84*AP84</f>
        <v>0</v>
      </c>
      <c r="AY84" s="17" t="s">
        <v>492</v>
      </c>
      <c r="AZ84" s="17" t="s">
        <v>760</v>
      </c>
      <c r="BA84" s="11" t="s">
        <v>1159</v>
      </c>
      <c r="BC84" s="40">
        <f>AW84+AX84</f>
        <v>0</v>
      </c>
      <c r="BD84" s="40">
        <f>I84/(100-BE84)*100</f>
        <v>0</v>
      </c>
      <c r="BE84" s="40">
        <v>0</v>
      </c>
      <c r="BF84" s="40">
        <f>84</f>
        <v>84</v>
      </c>
      <c r="BH84" s="40">
        <f>H84*AO84</f>
        <v>0</v>
      </c>
      <c r="BI84" s="40">
        <f>H84*AP84</f>
        <v>0</v>
      </c>
      <c r="BJ84" s="40">
        <f>H84*I84</f>
        <v>0</v>
      </c>
      <c r="BK84" s="40"/>
      <c r="BL84" s="40">
        <v>57</v>
      </c>
    </row>
    <row r="85" spans="1:64" ht="15" customHeight="1">
      <c r="A85" s="19" t="s">
        <v>1244</v>
      </c>
      <c r="B85" s="59" t="s">
        <v>1030</v>
      </c>
      <c r="C85" s="76" t="s">
        <v>936</v>
      </c>
      <c r="D85" s="76"/>
      <c r="E85" s="76"/>
      <c r="F85" s="76"/>
      <c r="G85" s="59" t="s">
        <v>1243</v>
      </c>
      <c r="H85" s="40">
        <v>2985</v>
      </c>
      <c r="I85" s="40">
        <v>0</v>
      </c>
      <c r="J85" s="40">
        <f>H85*AO85</f>
        <v>0</v>
      </c>
      <c r="K85" s="40">
        <f>H85*AP85</f>
        <v>0</v>
      </c>
      <c r="L85" s="40">
        <f>H85*I85</f>
        <v>0</v>
      </c>
      <c r="M85" s="69" t="s">
        <v>868</v>
      </c>
      <c r="Z85" s="40">
        <f>IF(AQ85="5",BJ85,0)</f>
        <v>0</v>
      </c>
      <c r="AB85" s="40">
        <f>IF(AQ85="1",BH85,0)</f>
        <v>0</v>
      </c>
      <c r="AC85" s="40">
        <f>IF(AQ85="1",BI85,0)</f>
        <v>0</v>
      </c>
      <c r="AD85" s="40">
        <f>IF(AQ85="7",BH85,0)</f>
        <v>0</v>
      </c>
      <c r="AE85" s="40">
        <f>IF(AQ85="7",BI85,0)</f>
        <v>0</v>
      </c>
      <c r="AF85" s="40">
        <f>IF(AQ85="2",BH85,0)</f>
        <v>0</v>
      </c>
      <c r="AG85" s="40">
        <f>IF(AQ85="2",BI85,0)</f>
        <v>0</v>
      </c>
      <c r="AH85" s="40">
        <f>IF(AQ85="0",BJ85,0)</f>
        <v>0</v>
      </c>
      <c r="AI85" s="11" t="s">
        <v>1420</v>
      </c>
      <c r="AJ85" s="40">
        <f>IF(AN85=0,L85,0)</f>
        <v>0</v>
      </c>
      <c r="AK85" s="40">
        <f>IF(AN85=15,L85,0)</f>
        <v>0</v>
      </c>
      <c r="AL85" s="40">
        <f>IF(AN85=21,L85,0)</f>
        <v>0</v>
      </c>
      <c r="AN85" s="40">
        <v>21</v>
      </c>
      <c r="AO85" s="40">
        <f>I85*0.748622222222222</f>
        <v>0</v>
      </c>
      <c r="AP85" s="40">
        <f>I85*(1-0.748622222222222)</f>
        <v>0</v>
      </c>
      <c r="AQ85" s="17" t="s">
        <v>1260</v>
      </c>
      <c r="AV85" s="40">
        <f>AW85+AX85</f>
        <v>0</v>
      </c>
      <c r="AW85" s="40">
        <f>H85*AO85</f>
        <v>0</v>
      </c>
      <c r="AX85" s="40">
        <f>H85*AP85</f>
        <v>0</v>
      </c>
      <c r="AY85" s="17" t="s">
        <v>492</v>
      </c>
      <c r="AZ85" s="17" t="s">
        <v>760</v>
      </c>
      <c r="BA85" s="11" t="s">
        <v>1159</v>
      </c>
      <c r="BC85" s="40">
        <f>AW85+AX85</f>
        <v>0</v>
      </c>
      <c r="BD85" s="40">
        <f>I85/(100-BE85)*100</f>
        <v>0</v>
      </c>
      <c r="BE85" s="40">
        <v>0</v>
      </c>
      <c r="BF85" s="40">
        <f>85</f>
        <v>85</v>
      </c>
      <c r="BH85" s="40">
        <f>H85*AO85</f>
        <v>0</v>
      </c>
      <c r="BI85" s="40">
        <f>H85*AP85</f>
        <v>0</v>
      </c>
      <c r="BJ85" s="40">
        <f>H85*I85</f>
        <v>0</v>
      </c>
      <c r="BK85" s="40"/>
      <c r="BL85" s="40">
        <v>57</v>
      </c>
    </row>
    <row r="86" spans="1:64" ht="15" customHeight="1">
      <c r="A86" s="19" t="s">
        <v>231</v>
      </c>
      <c r="B86" s="59" t="s">
        <v>1185</v>
      </c>
      <c r="C86" s="76" t="s">
        <v>134</v>
      </c>
      <c r="D86" s="76"/>
      <c r="E86" s="76"/>
      <c r="F86" s="76"/>
      <c r="G86" s="59" t="s">
        <v>1243</v>
      </c>
      <c r="H86" s="40">
        <v>2985</v>
      </c>
      <c r="I86" s="40">
        <v>0</v>
      </c>
      <c r="J86" s="40">
        <f>H86*AO86</f>
        <v>0</v>
      </c>
      <c r="K86" s="40">
        <f>H86*AP86</f>
        <v>0</v>
      </c>
      <c r="L86" s="40">
        <f>H86*I86</f>
        <v>0</v>
      </c>
      <c r="M86" s="69" t="s">
        <v>868</v>
      </c>
      <c r="Z86" s="40">
        <f>IF(AQ86="5",BJ86,0)</f>
        <v>0</v>
      </c>
      <c r="AB86" s="40">
        <f>IF(AQ86="1",BH86,0)</f>
        <v>0</v>
      </c>
      <c r="AC86" s="40">
        <f>IF(AQ86="1",BI86,0)</f>
        <v>0</v>
      </c>
      <c r="AD86" s="40">
        <f>IF(AQ86="7",BH86,0)</f>
        <v>0</v>
      </c>
      <c r="AE86" s="40">
        <f>IF(AQ86="7",BI86,0)</f>
        <v>0</v>
      </c>
      <c r="AF86" s="40">
        <f>IF(AQ86="2",BH86,0)</f>
        <v>0</v>
      </c>
      <c r="AG86" s="40">
        <f>IF(AQ86="2",BI86,0)</f>
        <v>0</v>
      </c>
      <c r="AH86" s="40">
        <f>IF(AQ86="0",BJ86,0)</f>
        <v>0</v>
      </c>
      <c r="AI86" s="11" t="s">
        <v>1420</v>
      </c>
      <c r="AJ86" s="40">
        <f>IF(AN86=0,L86,0)</f>
        <v>0</v>
      </c>
      <c r="AK86" s="40">
        <f>IF(AN86=15,L86,0)</f>
        <v>0</v>
      </c>
      <c r="AL86" s="40">
        <f>IF(AN86=21,L86,0)</f>
        <v>0</v>
      </c>
      <c r="AN86" s="40">
        <v>21</v>
      </c>
      <c r="AO86" s="40">
        <f>I86*0.901999292285917</f>
        <v>0</v>
      </c>
      <c r="AP86" s="40">
        <f>I86*(1-0.901999292285917)</f>
        <v>0</v>
      </c>
      <c r="AQ86" s="17" t="s">
        <v>1260</v>
      </c>
      <c r="AV86" s="40">
        <f>AW86+AX86</f>
        <v>0</v>
      </c>
      <c r="AW86" s="40">
        <f>H86*AO86</f>
        <v>0</v>
      </c>
      <c r="AX86" s="40">
        <f>H86*AP86</f>
        <v>0</v>
      </c>
      <c r="AY86" s="17" t="s">
        <v>492</v>
      </c>
      <c r="AZ86" s="17" t="s">
        <v>760</v>
      </c>
      <c r="BA86" s="11" t="s">
        <v>1159</v>
      </c>
      <c r="BC86" s="40">
        <f>AW86+AX86</f>
        <v>0</v>
      </c>
      <c r="BD86" s="40">
        <f>I86/(100-BE86)*100</f>
        <v>0</v>
      </c>
      <c r="BE86" s="40">
        <v>0</v>
      </c>
      <c r="BF86" s="40">
        <f>86</f>
        <v>86</v>
      </c>
      <c r="BH86" s="40">
        <f>H86*AO86</f>
        <v>0</v>
      </c>
      <c r="BI86" s="40">
        <f>H86*AP86</f>
        <v>0</v>
      </c>
      <c r="BJ86" s="40">
        <f>H86*I86</f>
        <v>0</v>
      </c>
      <c r="BK86" s="40"/>
      <c r="BL86" s="40">
        <v>57</v>
      </c>
    </row>
    <row r="87" spans="1:47" ht="15" customHeight="1">
      <c r="A87" s="24" t="s">
        <v>878</v>
      </c>
      <c r="B87" s="66" t="s">
        <v>441</v>
      </c>
      <c r="C87" s="92" t="s">
        <v>646</v>
      </c>
      <c r="D87" s="92"/>
      <c r="E87" s="92"/>
      <c r="F87" s="92"/>
      <c r="G87" s="3" t="s">
        <v>1172</v>
      </c>
      <c r="H87" s="3" t="s">
        <v>1172</v>
      </c>
      <c r="I87" s="3" t="s">
        <v>1172</v>
      </c>
      <c r="J87" s="63">
        <f>SUM(J88:J89)</f>
        <v>0</v>
      </c>
      <c r="K87" s="63">
        <f>SUM(K88:K89)</f>
        <v>0</v>
      </c>
      <c r="L87" s="63">
        <f>SUM(L88:L89)</f>
        <v>0</v>
      </c>
      <c r="M87" s="4" t="s">
        <v>878</v>
      </c>
      <c r="AI87" s="11" t="s">
        <v>1420</v>
      </c>
      <c r="AS87" s="63">
        <f>SUM(AJ88:AJ89)</f>
        <v>0</v>
      </c>
      <c r="AT87" s="63">
        <f>SUM(AK88:AK89)</f>
        <v>0</v>
      </c>
      <c r="AU87" s="63">
        <f>SUM(AL88:AL89)</f>
        <v>0</v>
      </c>
    </row>
    <row r="88" spans="1:64" ht="15" customHeight="1">
      <c r="A88" s="19" t="s">
        <v>409</v>
      </c>
      <c r="B88" s="59" t="s">
        <v>363</v>
      </c>
      <c r="C88" s="76" t="s">
        <v>605</v>
      </c>
      <c r="D88" s="76"/>
      <c r="E88" s="76"/>
      <c r="F88" s="76"/>
      <c r="G88" s="59" t="s">
        <v>565</v>
      </c>
      <c r="H88" s="40">
        <v>9472.62</v>
      </c>
      <c r="I88" s="40">
        <v>0</v>
      </c>
      <c r="J88" s="40">
        <f>H88*AO88</f>
        <v>0</v>
      </c>
      <c r="K88" s="40">
        <f>H88*AP88</f>
        <v>0</v>
      </c>
      <c r="L88" s="40">
        <f>H88*I88</f>
        <v>0</v>
      </c>
      <c r="M88" s="69" t="s">
        <v>868</v>
      </c>
      <c r="Z88" s="40">
        <f>IF(AQ88="5",BJ88,0)</f>
        <v>0</v>
      </c>
      <c r="AB88" s="40">
        <f>IF(AQ88="1",BH88,0)</f>
        <v>0</v>
      </c>
      <c r="AC88" s="40">
        <f>IF(AQ88="1",BI88,0)</f>
        <v>0</v>
      </c>
      <c r="AD88" s="40">
        <f>IF(AQ88="7",BH88,0)</f>
        <v>0</v>
      </c>
      <c r="AE88" s="40">
        <f>IF(AQ88="7",BI88,0)</f>
        <v>0</v>
      </c>
      <c r="AF88" s="40">
        <f>IF(AQ88="2",BH88,0)</f>
        <v>0</v>
      </c>
      <c r="AG88" s="40">
        <f>IF(AQ88="2",BI88,0)</f>
        <v>0</v>
      </c>
      <c r="AH88" s="40">
        <f>IF(AQ88="0",BJ88,0)</f>
        <v>0</v>
      </c>
      <c r="AI88" s="11" t="s">
        <v>1420</v>
      </c>
      <c r="AJ88" s="40">
        <f>IF(AN88=0,L88,0)</f>
        <v>0</v>
      </c>
      <c r="AK88" s="40">
        <f>IF(AN88=15,L88,0)</f>
        <v>0</v>
      </c>
      <c r="AL88" s="40">
        <f>IF(AN88=21,L88,0)</f>
        <v>0</v>
      </c>
      <c r="AN88" s="40">
        <v>21</v>
      </c>
      <c r="AO88" s="40">
        <f>I88*0</f>
        <v>0</v>
      </c>
      <c r="AP88" s="40">
        <f>I88*(1-0)</f>
        <v>0</v>
      </c>
      <c r="AQ88" s="17" t="s">
        <v>668</v>
      </c>
      <c r="AV88" s="40">
        <f>AW88+AX88</f>
        <v>0</v>
      </c>
      <c r="AW88" s="40">
        <f>H88*AO88</f>
        <v>0</v>
      </c>
      <c r="AX88" s="40">
        <f>H88*AP88</f>
        <v>0</v>
      </c>
      <c r="AY88" s="17" t="s">
        <v>403</v>
      </c>
      <c r="AZ88" s="17" t="s">
        <v>556</v>
      </c>
      <c r="BA88" s="11" t="s">
        <v>1159</v>
      </c>
      <c r="BC88" s="40">
        <f>AW88+AX88</f>
        <v>0</v>
      </c>
      <c r="BD88" s="40">
        <f>I88/(100-BE88)*100</f>
        <v>0</v>
      </c>
      <c r="BE88" s="40">
        <v>0</v>
      </c>
      <c r="BF88" s="40">
        <f>88</f>
        <v>88</v>
      </c>
      <c r="BH88" s="40">
        <f>H88*AO88</f>
        <v>0</v>
      </c>
      <c r="BI88" s="40">
        <f>H88*AP88</f>
        <v>0</v>
      </c>
      <c r="BJ88" s="40">
        <f>H88*I88</f>
        <v>0</v>
      </c>
      <c r="BK88" s="40"/>
      <c r="BL88" s="40"/>
    </row>
    <row r="89" spans="1:64" ht="15" customHeight="1">
      <c r="A89" s="19" t="s">
        <v>534</v>
      </c>
      <c r="B89" s="59" t="s">
        <v>845</v>
      </c>
      <c r="C89" s="76" t="s">
        <v>622</v>
      </c>
      <c r="D89" s="76"/>
      <c r="E89" s="76"/>
      <c r="F89" s="76"/>
      <c r="G89" s="59" t="s">
        <v>1243</v>
      </c>
      <c r="H89" s="40">
        <v>2374</v>
      </c>
      <c r="I89" s="40">
        <v>0</v>
      </c>
      <c r="J89" s="40">
        <f>H89*AO89</f>
        <v>0</v>
      </c>
      <c r="K89" s="40">
        <f>H89*AP89</f>
        <v>0</v>
      </c>
      <c r="L89" s="40">
        <f>H89*I89</f>
        <v>0</v>
      </c>
      <c r="M89" s="69" t="s">
        <v>868</v>
      </c>
      <c r="Z89" s="40">
        <f>IF(AQ89="5",BJ89,0)</f>
        <v>0</v>
      </c>
      <c r="AB89" s="40">
        <f>IF(AQ89="1",BH89,0)</f>
        <v>0</v>
      </c>
      <c r="AC89" s="40">
        <f>IF(AQ89="1",BI89,0)</f>
        <v>0</v>
      </c>
      <c r="AD89" s="40">
        <f>IF(AQ89="7",BH89,0)</f>
        <v>0</v>
      </c>
      <c r="AE89" s="40">
        <f>IF(AQ89="7",BI89,0)</f>
        <v>0</v>
      </c>
      <c r="AF89" s="40">
        <f>IF(AQ89="2",BH89,0)</f>
        <v>0</v>
      </c>
      <c r="AG89" s="40">
        <f>IF(AQ89="2",BI89,0)</f>
        <v>0</v>
      </c>
      <c r="AH89" s="40">
        <f>IF(AQ89="0",BJ89,0)</f>
        <v>0</v>
      </c>
      <c r="AI89" s="11" t="s">
        <v>1420</v>
      </c>
      <c r="AJ89" s="40">
        <f>IF(AN89=0,L89,0)</f>
        <v>0</v>
      </c>
      <c r="AK89" s="40">
        <f>IF(AN89=15,L89,0)</f>
        <v>0</v>
      </c>
      <c r="AL89" s="40">
        <f>IF(AN89=21,L89,0)</f>
        <v>0</v>
      </c>
      <c r="AN89" s="40">
        <v>21</v>
      </c>
      <c r="AO89" s="40">
        <f>I89*1</f>
        <v>0</v>
      </c>
      <c r="AP89" s="40">
        <f>I89*(1-1)</f>
        <v>0</v>
      </c>
      <c r="AQ89" s="17" t="s">
        <v>1260</v>
      </c>
      <c r="AV89" s="40">
        <f>AW89+AX89</f>
        <v>0</v>
      </c>
      <c r="AW89" s="40">
        <f>H89*AO89</f>
        <v>0</v>
      </c>
      <c r="AX89" s="40">
        <f>H89*AP89</f>
        <v>0</v>
      </c>
      <c r="AY89" s="17" t="s">
        <v>403</v>
      </c>
      <c r="AZ89" s="17" t="s">
        <v>556</v>
      </c>
      <c r="BA89" s="11" t="s">
        <v>1159</v>
      </c>
      <c r="BC89" s="40">
        <f>AW89+AX89</f>
        <v>0</v>
      </c>
      <c r="BD89" s="40">
        <f>I89/(100-BE89)*100</f>
        <v>0</v>
      </c>
      <c r="BE89" s="40">
        <v>0</v>
      </c>
      <c r="BF89" s="40">
        <f>89</f>
        <v>89</v>
      </c>
      <c r="BH89" s="40">
        <f>H89*AO89</f>
        <v>0</v>
      </c>
      <c r="BI89" s="40">
        <f>H89*AP89</f>
        <v>0</v>
      </c>
      <c r="BJ89" s="40">
        <f>H89*I89</f>
        <v>0</v>
      </c>
      <c r="BK89" s="40"/>
      <c r="BL89" s="40"/>
    </row>
    <row r="90" spans="1:47" ht="15" customHeight="1">
      <c r="A90" s="24" t="s">
        <v>878</v>
      </c>
      <c r="B90" s="66" t="s">
        <v>407</v>
      </c>
      <c r="C90" s="92" t="s">
        <v>528</v>
      </c>
      <c r="D90" s="92"/>
      <c r="E90" s="92"/>
      <c r="F90" s="92"/>
      <c r="G90" s="3" t="s">
        <v>1172</v>
      </c>
      <c r="H90" s="3" t="s">
        <v>1172</v>
      </c>
      <c r="I90" s="3" t="s">
        <v>1172</v>
      </c>
      <c r="J90" s="63">
        <f>SUM(J91:J91)</f>
        <v>0</v>
      </c>
      <c r="K90" s="63">
        <f>SUM(K91:K91)</f>
        <v>0</v>
      </c>
      <c r="L90" s="63">
        <f>SUM(L91:L91)</f>
        <v>0</v>
      </c>
      <c r="M90" s="4" t="s">
        <v>878</v>
      </c>
      <c r="AI90" s="11" t="s">
        <v>1420</v>
      </c>
      <c r="AS90" s="63">
        <f>SUM(AJ91:AJ91)</f>
        <v>0</v>
      </c>
      <c r="AT90" s="63">
        <f>SUM(AK91:AK91)</f>
        <v>0</v>
      </c>
      <c r="AU90" s="63">
        <f>SUM(AL91:AL91)</f>
        <v>0</v>
      </c>
    </row>
    <row r="91" spans="1:64" ht="15" customHeight="1">
      <c r="A91" s="19" t="s">
        <v>432</v>
      </c>
      <c r="B91" s="59" t="s">
        <v>666</v>
      </c>
      <c r="C91" s="76" t="s">
        <v>165</v>
      </c>
      <c r="D91" s="76"/>
      <c r="E91" s="76"/>
      <c r="F91" s="76"/>
      <c r="G91" s="59" t="s">
        <v>565</v>
      </c>
      <c r="H91" s="40">
        <v>716.4</v>
      </c>
      <c r="I91" s="40">
        <v>0</v>
      </c>
      <c r="J91" s="40">
        <f>H91*AO91</f>
        <v>0</v>
      </c>
      <c r="K91" s="40">
        <f>H91*AP91</f>
        <v>0</v>
      </c>
      <c r="L91" s="40">
        <f>H91*I91</f>
        <v>0</v>
      </c>
      <c r="M91" s="69" t="s">
        <v>868</v>
      </c>
      <c r="Z91" s="40">
        <f>IF(AQ91="5",BJ91,0)</f>
        <v>0</v>
      </c>
      <c r="AB91" s="40">
        <f>IF(AQ91="1",BH91,0)</f>
        <v>0</v>
      </c>
      <c r="AC91" s="40">
        <f>IF(AQ91="1",BI91,0)</f>
        <v>0</v>
      </c>
      <c r="AD91" s="40">
        <f>IF(AQ91="7",BH91,0)</f>
        <v>0</v>
      </c>
      <c r="AE91" s="40">
        <f>IF(AQ91="7",BI91,0)</f>
        <v>0</v>
      </c>
      <c r="AF91" s="40">
        <f>IF(AQ91="2",BH91,0)</f>
        <v>0</v>
      </c>
      <c r="AG91" s="40">
        <f>IF(AQ91="2",BI91,0)</f>
        <v>0</v>
      </c>
      <c r="AH91" s="40">
        <f>IF(AQ91="0",BJ91,0)</f>
        <v>0</v>
      </c>
      <c r="AI91" s="11" t="s">
        <v>1420</v>
      </c>
      <c r="AJ91" s="40">
        <f>IF(AN91=0,L91,0)</f>
        <v>0</v>
      </c>
      <c r="AK91" s="40">
        <f>IF(AN91=15,L91,0)</f>
        <v>0</v>
      </c>
      <c r="AL91" s="40">
        <f>IF(AN91=21,L91,0)</f>
        <v>0</v>
      </c>
      <c r="AN91" s="40">
        <v>21</v>
      </c>
      <c r="AO91" s="40">
        <f>I91*0</f>
        <v>0</v>
      </c>
      <c r="AP91" s="40">
        <f>I91*(1-0)</f>
        <v>0</v>
      </c>
      <c r="AQ91" s="17" t="s">
        <v>668</v>
      </c>
      <c r="AV91" s="40">
        <f>AW91+AX91</f>
        <v>0</v>
      </c>
      <c r="AW91" s="40">
        <f>H91*AO91</f>
        <v>0</v>
      </c>
      <c r="AX91" s="40">
        <f>H91*AP91</f>
        <v>0</v>
      </c>
      <c r="AY91" s="17" t="s">
        <v>506</v>
      </c>
      <c r="AZ91" s="17" t="s">
        <v>556</v>
      </c>
      <c r="BA91" s="11" t="s">
        <v>1159</v>
      </c>
      <c r="BC91" s="40">
        <f>AW91+AX91</f>
        <v>0</v>
      </c>
      <c r="BD91" s="40">
        <f>I91/(100-BE91)*100</f>
        <v>0</v>
      </c>
      <c r="BE91" s="40">
        <v>0</v>
      </c>
      <c r="BF91" s="40">
        <f>91</f>
        <v>91</v>
      </c>
      <c r="BH91" s="40">
        <f>H91*AO91</f>
        <v>0</v>
      </c>
      <c r="BI91" s="40">
        <f>H91*AP91</f>
        <v>0</v>
      </c>
      <c r="BJ91" s="40">
        <f>H91*I91</f>
        <v>0</v>
      </c>
      <c r="BK91" s="40"/>
      <c r="BL91" s="40"/>
    </row>
    <row r="92" spans="1:13" ht="15" customHeight="1">
      <c r="A92" s="24" t="s">
        <v>878</v>
      </c>
      <c r="B92" s="66" t="s">
        <v>878</v>
      </c>
      <c r="C92" s="92" t="s">
        <v>1437</v>
      </c>
      <c r="D92" s="92"/>
      <c r="E92" s="92"/>
      <c r="F92" s="92"/>
      <c r="G92" s="3" t="s">
        <v>1172</v>
      </c>
      <c r="H92" s="3" t="s">
        <v>1172</v>
      </c>
      <c r="I92" s="3" t="s">
        <v>1172</v>
      </c>
      <c r="J92" s="63">
        <f>J93+J103+J105+J110+J113+J118+J121+J124+J127+J129+J132+J139+J141+J151+J187+J189+J192+J195</f>
        <v>0</v>
      </c>
      <c r="K92" s="63">
        <f>K93+K103+K105+K110+K113+K118+K121+K124+K127+K129+K132+K139+K141+K151+K187+K189+K192+K195</f>
        <v>0</v>
      </c>
      <c r="L92" s="63">
        <f>L93+L103+L105+L110+L113+L118+L121+L124+L127+L129+L132+L139+L141+L151+L187+L189+L192+L195</f>
        <v>0</v>
      </c>
      <c r="M92" s="4" t="s">
        <v>878</v>
      </c>
    </row>
    <row r="93" spans="1:47" ht="15" customHeight="1">
      <c r="A93" s="24" t="s">
        <v>878</v>
      </c>
      <c r="B93" s="66" t="s">
        <v>1054</v>
      </c>
      <c r="C93" s="92" t="s">
        <v>690</v>
      </c>
      <c r="D93" s="92"/>
      <c r="E93" s="92"/>
      <c r="F93" s="92"/>
      <c r="G93" s="3" t="s">
        <v>1172</v>
      </c>
      <c r="H93" s="3" t="s">
        <v>1172</v>
      </c>
      <c r="I93" s="3" t="s">
        <v>1172</v>
      </c>
      <c r="J93" s="63">
        <f>SUM(J94:J102)</f>
        <v>0</v>
      </c>
      <c r="K93" s="63">
        <f>SUM(K94:K102)</f>
        <v>0</v>
      </c>
      <c r="L93" s="63">
        <f>SUM(L94:L102)</f>
        <v>0</v>
      </c>
      <c r="M93" s="4" t="s">
        <v>878</v>
      </c>
      <c r="AI93" s="11" t="s">
        <v>110</v>
      </c>
      <c r="AS93" s="63">
        <f>SUM(AJ94:AJ102)</f>
        <v>0</v>
      </c>
      <c r="AT93" s="63">
        <f>SUM(AK94:AK102)</f>
        <v>0</v>
      </c>
      <c r="AU93" s="63">
        <f>SUM(AL94:AL102)</f>
        <v>0</v>
      </c>
    </row>
    <row r="94" spans="1:64" ht="15" customHeight="1">
      <c r="A94" s="19" t="s">
        <v>1018</v>
      </c>
      <c r="B94" s="59" t="s">
        <v>592</v>
      </c>
      <c r="C94" s="76" t="s">
        <v>772</v>
      </c>
      <c r="D94" s="76"/>
      <c r="E94" s="76"/>
      <c r="F94" s="76"/>
      <c r="G94" s="59" t="s">
        <v>541</v>
      </c>
      <c r="H94" s="40">
        <v>75</v>
      </c>
      <c r="I94" s="40">
        <v>0</v>
      </c>
      <c r="J94" s="40">
        <f aca="true" t="shared" si="0" ref="J94:J102">H94*AO94</f>
        <v>0</v>
      </c>
      <c r="K94" s="40">
        <f aca="true" t="shared" si="1" ref="K94:K102">H94*AP94</f>
        <v>0</v>
      </c>
      <c r="L94" s="40">
        <f aca="true" t="shared" si="2" ref="L94:L102">H94*I94</f>
        <v>0</v>
      </c>
      <c r="M94" s="69" t="s">
        <v>868</v>
      </c>
      <c r="Z94" s="40">
        <f aca="true" t="shared" si="3" ref="Z94:Z102">IF(AQ94="5",BJ94,0)</f>
        <v>0</v>
      </c>
      <c r="AB94" s="40">
        <f aca="true" t="shared" si="4" ref="AB94:AB102">IF(AQ94="1",BH94,0)</f>
        <v>0</v>
      </c>
      <c r="AC94" s="40">
        <f aca="true" t="shared" si="5" ref="AC94:AC102">IF(AQ94="1",BI94,0)</f>
        <v>0</v>
      </c>
      <c r="AD94" s="40">
        <f aca="true" t="shared" si="6" ref="AD94:AD102">IF(AQ94="7",BH94,0)</f>
        <v>0</v>
      </c>
      <c r="AE94" s="40">
        <f aca="true" t="shared" si="7" ref="AE94:AE102">IF(AQ94="7",BI94,0)</f>
        <v>0</v>
      </c>
      <c r="AF94" s="40">
        <f aca="true" t="shared" si="8" ref="AF94:AF102">IF(AQ94="2",BH94,0)</f>
        <v>0</v>
      </c>
      <c r="AG94" s="40">
        <f aca="true" t="shared" si="9" ref="AG94:AG102">IF(AQ94="2",BI94,0)</f>
        <v>0</v>
      </c>
      <c r="AH94" s="40">
        <f aca="true" t="shared" si="10" ref="AH94:AH102">IF(AQ94="0",BJ94,0)</f>
        <v>0</v>
      </c>
      <c r="AI94" s="11" t="s">
        <v>110</v>
      </c>
      <c r="AJ94" s="40">
        <f aca="true" t="shared" si="11" ref="AJ94:AJ102">IF(AN94=0,L94,0)</f>
        <v>0</v>
      </c>
      <c r="AK94" s="40">
        <f aca="true" t="shared" si="12" ref="AK94:AK102">IF(AN94=15,L94,0)</f>
        <v>0</v>
      </c>
      <c r="AL94" s="40">
        <f aca="true" t="shared" si="13" ref="AL94:AL102">IF(AN94=21,L94,0)</f>
        <v>0</v>
      </c>
      <c r="AN94" s="40">
        <v>21</v>
      </c>
      <c r="AO94" s="40">
        <f>I94*0</f>
        <v>0</v>
      </c>
      <c r="AP94" s="40">
        <f>I94*(1-0)</f>
        <v>0</v>
      </c>
      <c r="AQ94" s="17" t="s">
        <v>1260</v>
      </c>
      <c r="AV94" s="40">
        <f aca="true" t="shared" si="14" ref="AV94:AV102">AW94+AX94</f>
        <v>0</v>
      </c>
      <c r="AW94" s="40">
        <f aca="true" t="shared" si="15" ref="AW94:AW102">H94*AO94</f>
        <v>0</v>
      </c>
      <c r="AX94" s="40">
        <f aca="true" t="shared" si="16" ref="AX94:AX102">H94*AP94</f>
        <v>0</v>
      </c>
      <c r="AY94" s="17" t="s">
        <v>144</v>
      </c>
      <c r="AZ94" s="17" t="s">
        <v>550</v>
      </c>
      <c r="BA94" s="11" t="s">
        <v>871</v>
      </c>
      <c r="BC94" s="40">
        <f aca="true" t="shared" si="17" ref="BC94:BC102">AW94+AX94</f>
        <v>0</v>
      </c>
      <c r="BD94" s="40">
        <f aca="true" t="shared" si="18" ref="BD94:BD102">I94/(100-BE94)*100</f>
        <v>0</v>
      </c>
      <c r="BE94" s="40">
        <v>0</v>
      </c>
      <c r="BF94" s="40">
        <f>94</f>
        <v>94</v>
      </c>
      <c r="BH94" s="40">
        <f aca="true" t="shared" si="19" ref="BH94:BH102">H94*AO94</f>
        <v>0</v>
      </c>
      <c r="BI94" s="40">
        <f aca="true" t="shared" si="20" ref="BI94:BI102">H94*AP94</f>
        <v>0</v>
      </c>
      <c r="BJ94" s="40">
        <f aca="true" t="shared" si="21" ref="BJ94:BJ102">H94*I94</f>
        <v>0</v>
      </c>
      <c r="BK94" s="40"/>
      <c r="BL94" s="40">
        <v>11</v>
      </c>
    </row>
    <row r="95" spans="1:64" ht="15" customHeight="1">
      <c r="A95" s="19" t="s">
        <v>1292</v>
      </c>
      <c r="B95" s="59" t="s">
        <v>269</v>
      </c>
      <c r="C95" s="76" t="s">
        <v>1147</v>
      </c>
      <c r="D95" s="76"/>
      <c r="E95" s="76"/>
      <c r="F95" s="76"/>
      <c r="G95" s="59" t="s">
        <v>1041</v>
      </c>
      <c r="H95" s="40">
        <v>0</v>
      </c>
      <c r="I95" s="40">
        <v>0</v>
      </c>
      <c r="J95" s="40">
        <f t="shared" si="0"/>
        <v>0</v>
      </c>
      <c r="K95" s="40">
        <f t="shared" si="1"/>
        <v>0</v>
      </c>
      <c r="L95" s="40">
        <f t="shared" si="2"/>
        <v>0</v>
      </c>
      <c r="M95" s="69" t="s">
        <v>868</v>
      </c>
      <c r="Z95" s="40">
        <f t="shared" si="3"/>
        <v>0</v>
      </c>
      <c r="AB95" s="40">
        <f t="shared" si="4"/>
        <v>0</v>
      </c>
      <c r="AC95" s="40">
        <f t="shared" si="5"/>
        <v>0</v>
      </c>
      <c r="AD95" s="40">
        <f t="shared" si="6"/>
        <v>0</v>
      </c>
      <c r="AE95" s="40">
        <f t="shared" si="7"/>
        <v>0</v>
      </c>
      <c r="AF95" s="40">
        <f t="shared" si="8"/>
        <v>0</v>
      </c>
      <c r="AG95" s="40">
        <f t="shared" si="9"/>
        <v>0</v>
      </c>
      <c r="AH95" s="40">
        <f t="shared" si="10"/>
        <v>0</v>
      </c>
      <c r="AI95" s="11" t="s">
        <v>110</v>
      </c>
      <c r="AJ95" s="40">
        <f t="shared" si="11"/>
        <v>0</v>
      </c>
      <c r="AK95" s="40">
        <f t="shared" si="12"/>
        <v>0</v>
      </c>
      <c r="AL95" s="40">
        <f t="shared" si="13"/>
        <v>0</v>
      </c>
      <c r="AN95" s="40">
        <v>21</v>
      </c>
      <c r="AO95" s="40">
        <f>I95*0</f>
        <v>0</v>
      </c>
      <c r="AP95" s="40">
        <f>I95*(1-0)</f>
        <v>0</v>
      </c>
      <c r="AQ95" s="17" t="s">
        <v>1260</v>
      </c>
      <c r="AV95" s="40">
        <f t="shared" si="14"/>
        <v>0</v>
      </c>
      <c r="AW95" s="40">
        <f t="shared" si="15"/>
        <v>0</v>
      </c>
      <c r="AX95" s="40">
        <f t="shared" si="16"/>
        <v>0</v>
      </c>
      <c r="AY95" s="17" t="s">
        <v>144</v>
      </c>
      <c r="AZ95" s="17" t="s">
        <v>550</v>
      </c>
      <c r="BA95" s="11" t="s">
        <v>871</v>
      </c>
      <c r="BC95" s="40">
        <f t="shared" si="17"/>
        <v>0</v>
      </c>
      <c r="BD95" s="40">
        <f t="shared" si="18"/>
        <v>0</v>
      </c>
      <c r="BE95" s="40">
        <v>0</v>
      </c>
      <c r="BF95" s="40">
        <f>95</f>
        <v>95</v>
      </c>
      <c r="BH95" s="40">
        <f t="shared" si="19"/>
        <v>0</v>
      </c>
      <c r="BI95" s="40">
        <f t="shared" si="20"/>
        <v>0</v>
      </c>
      <c r="BJ95" s="40">
        <f t="shared" si="21"/>
        <v>0</v>
      </c>
      <c r="BK95" s="40"/>
      <c r="BL95" s="40">
        <v>11</v>
      </c>
    </row>
    <row r="96" spans="1:64" ht="15" customHeight="1">
      <c r="A96" s="19" t="s">
        <v>98</v>
      </c>
      <c r="B96" s="59" t="s">
        <v>1223</v>
      </c>
      <c r="C96" s="76" t="s">
        <v>440</v>
      </c>
      <c r="D96" s="76"/>
      <c r="E96" s="76"/>
      <c r="F96" s="76"/>
      <c r="G96" s="59" t="s">
        <v>76</v>
      </c>
      <c r="H96" s="40">
        <v>75</v>
      </c>
      <c r="I96" s="40">
        <v>0</v>
      </c>
      <c r="J96" s="40">
        <f t="shared" si="0"/>
        <v>0</v>
      </c>
      <c r="K96" s="40">
        <f t="shared" si="1"/>
        <v>0</v>
      </c>
      <c r="L96" s="40">
        <f t="shared" si="2"/>
        <v>0</v>
      </c>
      <c r="M96" s="69" t="s">
        <v>868</v>
      </c>
      <c r="Z96" s="40">
        <f t="shared" si="3"/>
        <v>0</v>
      </c>
      <c r="AB96" s="40">
        <f t="shared" si="4"/>
        <v>0</v>
      </c>
      <c r="AC96" s="40">
        <f t="shared" si="5"/>
        <v>0</v>
      </c>
      <c r="AD96" s="40">
        <f t="shared" si="6"/>
        <v>0</v>
      </c>
      <c r="AE96" s="40">
        <f t="shared" si="7"/>
        <v>0</v>
      </c>
      <c r="AF96" s="40">
        <f t="shared" si="8"/>
        <v>0</v>
      </c>
      <c r="AG96" s="40">
        <f t="shared" si="9"/>
        <v>0</v>
      </c>
      <c r="AH96" s="40">
        <f t="shared" si="10"/>
        <v>0</v>
      </c>
      <c r="AI96" s="11" t="s">
        <v>110</v>
      </c>
      <c r="AJ96" s="40">
        <f t="shared" si="11"/>
        <v>0</v>
      </c>
      <c r="AK96" s="40">
        <f t="shared" si="12"/>
        <v>0</v>
      </c>
      <c r="AL96" s="40">
        <f t="shared" si="13"/>
        <v>0</v>
      </c>
      <c r="AN96" s="40">
        <v>21</v>
      </c>
      <c r="AO96" s="40">
        <f>I96*0</f>
        <v>0</v>
      </c>
      <c r="AP96" s="40">
        <f>I96*(1-0)</f>
        <v>0</v>
      </c>
      <c r="AQ96" s="17" t="s">
        <v>1260</v>
      </c>
      <c r="AV96" s="40">
        <f t="shared" si="14"/>
        <v>0</v>
      </c>
      <c r="AW96" s="40">
        <f t="shared" si="15"/>
        <v>0</v>
      </c>
      <c r="AX96" s="40">
        <f t="shared" si="16"/>
        <v>0</v>
      </c>
      <c r="AY96" s="17" t="s">
        <v>144</v>
      </c>
      <c r="AZ96" s="17" t="s">
        <v>550</v>
      </c>
      <c r="BA96" s="11" t="s">
        <v>871</v>
      </c>
      <c r="BC96" s="40">
        <f t="shared" si="17"/>
        <v>0</v>
      </c>
      <c r="BD96" s="40">
        <f t="shared" si="18"/>
        <v>0</v>
      </c>
      <c r="BE96" s="40">
        <v>0</v>
      </c>
      <c r="BF96" s="40">
        <f>96</f>
        <v>96</v>
      </c>
      <c r="BH96" s="40">
        <f t="shared" si="19"/>
        <v>0</v>
      </c>
      <c r="BI96" s="40">
        <f t="shared" si="20"/>
        <v>0</v>
      </c>
      <c r="BJ96" s="40">
        <f t="shared" si="21"/>
        <v>0</v>
      </c>
      <c r="BK96" s="40"/>
      <c r="BL96" s="40">
        <v>11</v>
      </c>
    </row>
    <row r="97" spans="1:64" ht="15" customHeight="1">
      <c r="A97" s="19" t="s">
        <v>994</v>
      </c>
      <c r="B97" s="59" t="s">
        <v>927</v>
      </c>
      <c r="C97" s="76" t="s">
        <v>796</v>
      </c>
      <c r="D97" s="76"/>
      <c r="E97" s="76"/>
      <c r="F97" s="76"/>
      <c r="G97" s="59" t="s">
        <v>1041</v>
      </c>
      <c r="H97" s="40">
        <v>14</v>
      </c>
      <c r="I97" s="40">
        <v>0</v>
      </c>
      <c r="J97" s="40">
        <f t="shared" si="0"/>
        <v>0</v>
      </c>
      <c r="K97" s="40">
        <f t="shared" si="1"/>
        <v>0</v>
      </c>
      <c r="L97" s="40">
        <f t="shared" si="2"/>
        <v>0</v>
      </c>
      <c r="M97" s="69" t="s">
        <v>868</v>
      </c>
      <c r="Z97" s="40">
        <f t="shared" si="3"/>
        <v>0</v>
      </c>
      <c r="AB97" s="40">
        <f t="shared" si="4"/>
        <v>0</v>
      </c>
      <c r="AC97" s="40">
        <f t="shared" si="5"/>
        <v>0</v>
      </c>
      <c r="AD97" s="40">
        <f t="shared" si="6"/>
        <v>0</v>
      </c>
      <c r="AE97" s="40">
        <f t="shared" si="7"/>
        <v>0</v>
      </c>
      <c r="AF97" s="40">
        <f t="shared" si="8"/>
        <v>0</v>
      </c>
      <c r="AG97" s="40">
        <f t="shared" si="9"/>
        <v>0</v>
      </c>
      <c r="AH97" s="40">
        <f t="shared" si="10"/>
        <v>0</v>
      </c>
      <c r="AI97" s="11" t="s">
        <v>110</v>
      </c>
      <c r="AJ97" s="40">
        <f t="shared" si="11"/>
        <v>0</v>
      </c>
      <c r="AK97" s="40">
        <f t="shared" si="12"/>
        <v>0</v>
      </c>
      <c r="AL97" s="40">
        <f t="shared" si="13"/>
        <v>0</v>
      </c>
      <c r="AN97" s="40">
        <v>21</v>
      </c>
      <c r="AO97" s="40">
        <f>I97*0.352956636005256</f>
        <v>0</v>
      </c>
      <c r="AP97" s="40">
        <f>I97*(1-0.352956636005256)</f>
        <v>0</v>
      </c>
      <c r="AQ97" s="17" t="s">
        <v>1260</v>
      </c>
      <c r="AV97" s="40">
        <f t="shared" si="14"/>
        <v>0</v>
      </c>
      <c r="AW97" s="40">
        <f t="shared" si="15"/>
        <v>0</v>
      </c>
      <c r="AX97" s="40">
        <f t="shared" si="16"/>
        <v>0</v>
      </c>
      <c r="AY97" s="17" t="s">
        <v>144</v>
      </c>
      <c r="AZ97" s="17" t="s">
        <v>550</v>
      </c>
      <c r="BA97" s="11" t="s">
        <v>871</v>
      </c>
      <c r="BC97" s="40">
        <f t="shared" si="17"/>
        <v>0</v>
      </c>
      <c r="BD97" s="40">
        <f t="shared" si="18"/>
        <v>0</v>
      </c>
      <c r="BE97" s="40">
        <v>0</v>
      </c>
      <c r="BF97" s="40">
        <f>97</f>
        <v>97</v>
      </c>
      <c r="BH97" s="40">
        <f t="shared" si="19"/>
        <v>0</v>
      </c>
      <c r="BI97" s="40">
        <f t="shared" si="20"/>
        <v>0</v>
      </c>
      <c r="BJ97" s="40">
        <f t="shared" si="21"/>
        <v>0</v>
      </c>
      <c r="BK97" s="40"/>
      <c r="BL97" s="40">
        <v>11</v>
      </c>
    </row>
    <row r="98" spans="1:64" ht="15" customHeight="1">
      <c r="A98" s="19" t="s">
        <v>1033</v>
      </c>
      <c r="B98" s="59" t="s">
        <v>1061</v>
      </c>
      <c r="C98" s="76" t="s">
        <v>1192</v>
      </c>
      <c r="D98" s="76"/>
      <c r="E98" s="76"/>
      <c r="F98" s="76"/>
      <c r="G98" s="59" t="s">
        <v>1041</v>
      </c>
      <c r="H98" s="40">
        <v>29</v>
      </c>
      <c r="I98" s="40">
        <v>0</v>
      </c>
      <c r="J98" s="40">
        <f t="shared" si="0"/>
        <v>0</v>
      </c>
      <c r="K98" s="40">
        <f t="shared" si="1"/>
        <v>0</v>
      </c>
      <c r="L98" s="40">
        <f t="shared" si="2"/>
        <v>0</v>
      </c>
      <c r="M98" s="69" t="s">
        <v>868</v>
      </c>
      <c r="Z98" s="40">
        <f t="shared" si="3"/>
        <v>0</v>
      </c>
      <c r="AB98" s="40">
        <f t="shared" si="4"/>
        <v>0</v>
      </c>
      <c r="AC98" s="40">
        <f t="shared" si="5"/>
        <v>0</v>
      </c>
      <c r="AD98" s="40">
        <f t="shared" si="6"/>
        <v>0</v>
      </c>
      <c r="AE98" s="40">
        <f t="shared" si="7"/>
        <v>0</v>
      </c>
      <c r="AF98" s="40">
        <f t="shared" si="8"/>
        <v>0</v>
      </c>
      <c r="AG98" s="40">
        <f t="shared" si="9"/>
        <v>0</v>
      </c>
      <c r="AH98" s="40">
        <f t="shared" si="10"/>
        <v>0</v>
      </c>
      <c r="AI98" s="11" t="s">
        <v>110</v>
      </c>
      <c r="AJ98" s="40">
        <f t="shared" si="11"/>
        <v>0</v>
      </c>
      <c r="AK98" s="40">
        <f t="shared" si="12"/>
        <v>0</v>
      </c>
      <c r="AL98" s="40">
        <f t="shared" si="13"/>
        <v>0</v>
      </c>
      <c r="AN98" s="40">
        <v>21</v>
      </c>
      <c r="AO98" s="40">
        <f>I98*0.282187147688839</f>
        <v>0</v>
      </c>
      <c r="AP98" s="40">
        <f>I98*(1-0.282187147688839)</f>
        <v>0</v>
      </c>
      <c r="AQ98" s="17" t="s">
        <v>1260</v>
      </c>
      <c r="AV98" s="40">
        <f t="shared" si="14"/>
        <v>0</v>
      </c>
      <c r="AW98" s="40">
        <f t="shared" si="15"/>
        <v>0</v>
      </c>
      <c r="AX98" s="40">
        <f t="shared" si="16"/>
        <v>0</v>
      </c>
      <c r="AY98" s="17" t="s">
        <v>144</v>
      </c>
      <c r="AZ98" s="17" t="s">
        <v>550</v>
      </c>
      <c r="BA98" s="11" t="s">
        <v>871</v>
      </c>
      <c r="BC98" s="40">
        <f t="shared" si="17"/>
        <v>0</v>
      </c>
      <c r="BD98" s="40">
        <f t="shared" si="18"/>
        <v>0</v>
      </c>
      <c r="BE98" s="40">
        <v>0</v>
      </c>
      <c r="BF98" s="40">
        <f>98</f>
        <v>98</v>
      </c>
      <c r="BH98" s="40">
        <f t="shared" si="19"/>
        <v>0</v>
      </c>
      <c r="BI98" s="40">
        <f t="shared" si="20"/>
        <v>0</v>
      </c>
      <c r="BJ98" s="40">
        <f t="shared" si="21"/>
        <v>0</v>
      </c>
      <c r="BK98" s="40"/>
      <c r="BL98" s="40">
        <v>11</v>
      </c>
    </row>
    <row r="99" spans="1:64" ht="15" customHeight="1">
      <c r="A99" s="19" t="s">
        <v>522</v>
      </c>
      <c r="B99" s="59" t="s">
        <v>1268</v>
      </c>
      <c r="C99" s="76" t="s">
        <v>1082</v>
      </c>
      <c r="D99" s="76"/>
      <c r="E99" s="76"/>
      <c r="F99" s="76"/>
      <c r="G99" s="59" t="s">
        <v>1041</v>
      </c>
      <c r="H99" s="40">
        <v>84</v>
      </c>
      <c r="I99" s="40">
        <v>0</v>
      </c>
      <c r="J99" s="40">
        <f t="shared" si="0"/>
        <v>0</v>
      </c>
      <c r="K99" s="40">
        <f t="shared" si="1"/>
        <v>0</v>
      </c>
      <c r="L99" s="40">
        <f t="shared" si="2"/>
        <v>0</v>
      </c>
      <c r="M99" s="69" t="s">
        <v>868</v>
      </c>
      <c r="Z99" s="40">
        <f t="shared" si="3"/>
        <v>0</v>
      </c>
      <c r="AB99" s="40">
        <f t="shared" si="4"/>
        <v>0</v>
      </c>
      <c r="AC99" s="40">
        <f t="shared" si="5"/>
        <v>0</v>
      </c>
      <c r="AD99" s="40">
        <f t="shared" si="6"/>
        <v>0</v>
      </c>
      <c r="AE99" s="40">
        <f t="shared" si="7"/>
        <v>0</v>
      </c>
      <c r="AF99" s="40">
        <f t="shared" si="8"/>
        <v>0</v>
      </c>
      <c r="AG99" s="40">
        <f t="shared" si="9"/>
        <v>0</v>
      </c>
      <c r="AH99" s="40">
        <f t="shared" si="10"/>
        <v>0</v>
      </c>
      <c r="AI99" s="11" t="s">
        <v>110</v>
      </c>
      <c r="AJ99" s="40">
        <f t="shared" si="11"/>
        <v>0</v>
      </c>
      <c r="AK99" s="40">
        <f t="shared" si="12"/>
        <v>0</v>
      </c>
      <c r="AL99" s="40">
        <f t="shared" si="13"/>
        <v>0</v>
      </c>
      <c r="AN99" s="40">
        <v>21</v>
      </c>
      <c r="AO99" s="40">
        <f>I99*0.256844997804501</f>
        <v>0</v>
      </c>
      <c r="AP99" s="40">
        <f>I99*(1-0.256844997804501)</f>
        <v>0</v>
      </c>
      <c r="AQ99" s="17" t="s">
        <v>1260</v>
      </c>
      <c r="AV99" s="40">
        <f t="shared" si="14"/>
        <v>0</v>
      </c>
      <c r="AW99" s="40">
        <f t="shared" si="15"/>
        <v>0</v>
      </c>
      <c r="AX99" s="40">
        <f t="shared" si="16"/>
        <v>0</v>
      </c>
      <c r="AY99" s="17" t="s">
        <v>144</v>
      </c>
      <c r="AZ99" s="17" t="s">
        <v>550</v>
      </c>
      <c r="BA99" s="11" t="s">
        <v>871</v>
      </c>
      <c r="BC99" s="40">
        <f t="shared" si="17"/>
        <v>0</v>
      </c>
      <c r="BD99" s="40">
        <f t="shared" si="18"/>
        <v>0</v>
      </c>
      <c r="BE99" s="40">
        <v>0</v>
      </c>
      <c r="BF99" s="40">
        <f>99</f>
        <v>99</v>
      </c>
      <c r="BH99" s="40">
        <f t="shared" si="19"/>
        <v>0</v>
      </c>
      <c r="BI99" s="40">
        <f t="shared" si="20"/>
        <v>0</v>
      </c>
      <c r="BJ99" s="40">
        <f t="shared" si="21"/>
        <v>0</v>
      </c>
      <c r="BK99" s="40"/>
      <c r="BL99" s="40">
        <v>11</v>
      </c>
    </row>
    <row r="100" spans="1:64" ht="15" customHeight="1">
      <c r="A100" s="19" t="s">
        <v>512</v>
      </c>
      <c r="B100" s="59" t="s">
        <v>746</v>
      </c>
      <c r="C100" s="76" t="s">
        <v>627</v>
      </c>
      <c r="D100" s="76"/>
      <c r="E100" s="76"/>
      <c r="F100" s="76"/>
      <c r="G100" s="59" t="s">
        <v>1243</v>
      </c>
      <c r="H100" s="40">
        <v>419.13</v>
      </c>
      <c r="I100" s="40">
        <v>0</v>
      </c>
      <c r="J100" s="40">
        <f t="shared" si="0"/>
        <v>0</v>
      </c>
      <c r="K100" s="40">
        <f t="shared" si="1"/>
        <v>0</v>
      </c>
      <c r="L100" s="40">
        <f t="shared" si="2"/>
        <v>0</v>
      </c>
      <c r="M100" s="69" t="s">
        <v>868</v>
      </c>
      <c r="Z100" s="40">
        <f t="shared" si="3"/>
        <v>0</v>
      </c>
      <c r="AB100" s="40">
        <f t="shared" si="4"/>
        <v>0</v>
      </c>
      <c r="AC100" s="40">
        <f t="shared" si="5"/>
        <v>0</v>
      </c>
      <c r="AD100" s="40">
        <f t="shared" si="6"/>
        <v>0</v>
      </c>
      <c r="AE100" s="40">
        <f t="shared" si="7"/>
        <v>0</v>
      </c>
      <c r="AF100" s="40">
        <f t="shared" si="8"/>
        <v>0</v>
      </c>
      <c r="AG100" s="40">
        <f t="shared" si="9"/>
        <v>0</v>
      </c>
      <c r="AH100" s="40">
        <f t="shared" si="10"/>
        <v>0</v>
      </c>
      <c r="AI100" s="11" t="s">
        <v>110</v>
      </c>
      <c r="AJ100" s="40">
        <f t="shared" si="11"/>
        <v>0</v>
      </c>
      <c r="AK100" s="40">
        <f t="shared" si="12"/>
        <v>0</v>
      </c>
      <c r="AL100" s="40">
        <f t="shared" si="13"/>
        <v>0</v>
      </c>
      <c r="AN100" s="40">
        <v>21</v>
      </c>
      <c r="AO100" s="40">
        <f>I100*0</f>
        <v>0</v>
      </c>
      <c r="AP100" s="40">
        <f>I100*(1-0)</f>
        <v>0</v>
      </c>
      <c r="AQ100" s="17" t="s">
        <v>1260</v>
      </c>
      <c r="AV100" s="40">
        <f t="shared" si="14"/>
        <v>0</v>
      </c>
      <c r="AW100" s="40">
        <f t="shared" si="15"/>
        <v>0</v>
      </c>
      <c r="AX100" s="40">
        <f t="shared" si="16"/>
        <v>0</v>
      </c>
      <c r="AY100" s="17" t="s">
        <v>144</v>
      </c>
      <c r="AZ100" s="17" t="s">
        <v>550</v>
      </c>
      <c r="BA100" s="11" t="s">
        <v>871</v>
      </c>
      <c r="BC100" s="40">
        <f t="shared" si="17"/>
        <v>0</v>
      </c>
      <c r="BD100" s="40">
        <f t="shared" si="18"/>
        <v>0</v>
      </c>
      <c r="BE100" s="40">
        <v>0</v>
      </c>
      <c r="BF100" s="40">
        <f>100</f>
        <v>100</v>
      </c>
      <c r="BH100" s="40">
        <f t="shared" si="19"/>
        <v>0</v>
      </c>
      <c r="BI100" s="40">
        <f t="shared" si="20"/>
        <v>0</v>
      </c>
      <c r="BJ100" s="40">
        <f t="shared" si="21"/>
        <v>0</v>
      </c>
      <c r="BK100" s="40"/>
      <c r="BL100" s="40">
        <v>11</v>
      </c>
    </row>
    <row r="101" spans="1:64" ht="15" customHeight="1">
      <c r="A101" s="19" t="s">
        <v>573</v>
      </c>
      <c r="B101" s="59" t="s">
        <v>1424</v>
      </c>
      <c r="C101" s="76" t="s">
        <v>725</v>
      </c>
      <c r="D101" s="76"/>
      <c r="E101" s="76"/>
      <c r="F101" s="76"/>
      <c r="G101" s="59" t="s">
        <v>1243</v>
      </c>
      <c r="H101" s="40">
        <v>419.13</v>
      </c>
      <c r="I101" s="40">
        <v>0</v>
      </c>
      <c r="J101" s="40">
        <f t="shared" si="0"/>
        <v>0</v>
      </c>
      <c r="K101" s="40">
        <f t="shared" si="1"/>
        <v>0</v>
      </c>
      <c r="L101" s="40">
        <f t="shared" si="2"/>
        <v>0</v>
      </c>
      <c r="M101" s="69" t="s">
        <v>868</v>
      </c>
      <c r="Z101" s="40">
        <f t="shared" si="3"/>
        <v>0</v>
      </c>
      <c r="AB101" s="40">
        <f t="shared" si="4"/>
        <v>0</v>
      </c>
      <c r="AC101" s="40">
        <f t="shared" si="5"/>
        <v>0</v>
      </c>
      <c r="AD101" s="40">
        <f t="shared" si="6"/>
        <v>0</v>
      </c>
      <c r="AE101" s="40">
        <f t="shared" si="7"/>
        <v>0</v>
      </c>
      <c r="AF101" s="40">
        <f t="shared" si="8"/>
        <v>0</v>
      </c>
      <c r="AG101" s="40">
        <f t="shared" si="9"/>
        <v>0</v>
      </c>
      <c r="AH101" s="40">
        <f t="shared" si="10"/>
        <v>0</v>
      </c>
      <c r="AI101" s="11" t="s">
        <v>110</v>
      </c>
      <c r="AJ101" s="40">
        <f t="shared" si="11"/>
        <v>0</v>
      </c>
      <c r="AK101" s="40">
        <f t="shared" si="12"/>
        <v>0</v>
      </c>
      <c r="AL101" s="40">
        <f t="shared" si="13"/>
        <v>0</v>
      </c>
      <c r="AN101" s="40">
        <v>21</v>
      </c>
      <c r="AO101" s="40">
        <f>I101*0</f>
        <v>0</v>
      </c>
      <c r="AP101" s="40">
        <f>I101*(1-0)</f>
        <v>0</v>
      </c>
      <c r="AQ101" s="17" t="s">
        <v>1260</v>
      </c>
      <c r="AV101" s="40">
        <f t="shared" si="14"/>
        <v>0</v>
      </c>
      <c r="AW101" s="40">
        <f t="shared" si="15"/>
        <v>0</v>
      </c>
      <c r="AX101" s="40">
        <f t="shared" si="16"/>
        <v>0</v>
      </c>
      <c r="AY101" s="17" t="s">
        <v>144</v>
      </c>
      <c r="AZ101" s="17" t="s">
        <v>550</v>
      </c>
      <c r="BA101" s="11" t="s">
        <v>871</v>
      </c>
      <c r="BC101" s="40">
        <f t="shared" si="17"/>
        <v>0</v>
      </c>
      <c r="BD101" s="40">
        <f t="shared" si="18"/>
        <v>0</v>
      </c>
      <c r="BE101" s="40">
        <v>0</v>
      </c>
      <c r="BF101" s="40">
        <f>101</f>
        <v>101</v>
      </c>
      <c r="BH101" s="40">
        <f t="shared" si="19"/>
        <v>0</v>
      </c>
      <c r="BI101" s="40">
        <f t="shared" si="20"/>
        <v>0</v>
      </c>
      <c r="BJ101" s="40">
        <f t="shared" si="21"/>
        <v>0</v>
      </c>
      <c r="BK101" s="40"/>
      <c r="BL101" s="40">
        <v>11</v>
      </c>
    </row>
    <row r="102" spans="1:64" ht="15" customHeight="1">
      <c r="A102" s="19" t="s">
        <v>1169</v>
      </c>
      <c r="B102" s="59" t="s">
        <v>291</v>
      </c>
      <c r="C102" s="76" t="s">
        <v>413</v>
      </c>
      <c r="D102" s="76"/>
      <c r="E102" s="76"/>
      <c r="F102" s="76"/>
      <c r="G102" s="59" t="s">
        <v>565</v>
      </c>
      <c r="H102" s="40">
        <v>97.0405</v>
      </c>
      <c r="I102" s="40">
        <v>0</v>
      </c>
      <c r="J102" s="40">
        <f t="shared" si="0"/>
        <v>0</v>
      </c>
      <c r="K102" s="40">
        <f t="shared" si="1"/>
        <v>0</v>
      </c>
      <c r="L102" s="40">
        <f t="shared" si="2"/>
        <v>0</v>
      </c>
      <c r="M102" s="69" t="s">
        <v>868</v>
      </c>
      <c r="Z102" s="40">
        <f t="shared" si="3"/>
        <v>0</v>
      </c>
      <c r="AB102" s="40">
        <f t="shared" si="4"/>
        <v>0</v>
      </c>
      <c r="AC102" s="40">
        <f t="shared" si="5"/>
        <v>0</v>
      </c>
      <c r="AD102" s="40">
        <f t="shared" si="6"/>
        <v>0</v>
      </c>
      <c r="AE102" s="40">
        <f t="shared" si="7"/>
        <v>0</v>
      </c>
      <c r="AF102" s="40">
        <f t="shared" si="8"/>
        <v>0</v>
      </c>
      <c r="AG102" s="40">
        <f t="shared" si="9"/>
        <v>0</v>
      </c>
      <c r="AH102" s="40">
        <f t="shared" si="10"/>
        <v>0</v>
      </c>
      <c r="AI102" s="11" t="s">
        <v>110</v>
      </c>
      <c r="AJ102" s="40">
        <f t="shared" si="11"/>
        <v>0</v>
      </c>
      <c r="AK102" s="40">
        <f t="shared" si="12"/>
        <v>0</v>
      </c>
      <c r="AL102" s="40">
        <f t="shared" si="13"/>
        <v>0</v>
      </c>
      <c r="AN102" s="40">
        <v>21</v>
      </c>
      <c r="AO102" s="40">
        <f>I102*0</f>
        <v>0</v>
      </c>
      <c r="AP102" s="40">
        <f>I102*(1-0)</f>
        <v>0</v>
      </c>
      <c r="AQ102" s="17" t="s">
        <v>668</v>
      </c>
      <c r="AV102" s="40">
        <f t="shared" si="14"/>
        <v>0</v>
      </c>
      <c r="AW102" s="40">
        <f t="shared" si="15"/>
        <v>0</v>
      </c>
      <c r="AX102" s="40">
        <f t="shared" si="16"/>
        <v>0</v>
      </c>
      <c r="AY102" s="17" t="s">
        <v>144</v>
      </c>
      <c r="AZ102" s="17" t="s">
        <v>550</v>
      </c>
      <c r="BA102" s="11" t="s">
        <v>871</v>
      </c>
      <c r="BC102" s="40">
        <f t="shared" si="17"/>
        <v>0</v>
      </c>
      <c r="BD102" s="40">
        <f t="shared" si="18"/>
        <v>0</v>
      </c>
      <c r="BE102" s="40">
        <v>0</v>
      </c>
      <c r="BF102" s="40">
        <f>102</f>
        <v>102</v>
      </c>
      <c r="BH102" s="40">
        <f t="shared" si="19"/>
        <v>0</v>
      </c>
      <c r="BI102" s="40">
        <f t="shared" si="20"/>
        <v>0</v>
      </c>
      <c r="BJ102" s="40">
        <f t="shared" si="21"/>
        <v>0</v>
      </c>
      <c r="BK102" s="40"/>
      <c r="BL102" s="40">
        <v>11</v>
      </c>
    </row>
    <row r="103" spans="1:47" ht="15" customHeight="1">
      <c r="A103" s="24" t="s">
        <v>878</v>
      </c>
      <c r="B103" s="66" t="s">
        <v>938</v>
      </c>
      <c r="C103" s="92" t="s">
        <v>314</v>
      </c>
      <c r="D103" s="92"/>
      <c r="E103" s="92"/>
      <c r="F103" s="92"/>
      <c r="G103" s="3" t="s">
        <v>1172</v>
      </c>
      <c r="H103" s="3" t="s">
        <v>1172</v>
      </c>
      <c r="I103" s="3" t="s">
        <v>1172</v>
      </c>
      <c r="J103" s="63">
        <f>SUM(J104:J104)</f>
        <v>0</v>
      </c>
      <c r="K103" s="63">
        <f>SUM(K104:K104)</f>
        <v>0</v>
      </c>
      <c r="L103" s="63">
        <f>SUM(L104:L104)</f>
        <v>0</v>
      </c>
      <c r="M103" s="4" t="s">
        <v>878</v>
      </c>
      <c r="AI103" s="11" t="s">
        <v>110</v>
      </c>
      <c r="AS103" s="63">
        <f>SUM(AJ104:AJ104)</f>
        <v>0</v>
      </c>
      <c r="AT103" s="63">
        <f>SUM(AK104:AK104)</f>
        <v>0</v>
      </c>
      <c r="AU103" s="63">
        <f>SUM(AL104:AL104)</f>
        <v>0</v>
      </c>
    </row>
    <row r="104" spans="1:64" ht="15" customHeight="1">
      <c r="A104" s="19" t="s">
        <v>836</v>
      </c>
      <c r="B104" s="59" t="s">
        <v>1146</v>
      </c>
      <c r="C104" s="76" t="s">
        <v>328</v>
      </c>
      <c r="D104" s="76"/>
      <c r="E104" s="76"/>
      <c r="F104" s="76"/>
      <c r="G104" s="59" t="s">
        <v>1220</v>
      </c>
      <c r="H104" s="40">
        <v>52</v>
      </c>
      <c r="I104" s="40">
        <v>0</v>
      </c>
      <c r="J104" s="40">
        <f>H104*AO104</f>
        <v>0</v>
      </c>
      <c r="K104" s="40">
        <f>H104*AP104</f>
        <v>0</v>
      </c>
      <c r="L104" s="40">
        <f>H104*I104</f>
        <v>0</v>
      </c>
      <c r="M104" s="69" t="s">
        <v>868</v>
      </c>
      <c r="Z104" s="40">
        <f>IF(AQ104="5",BJ104,0)</f>
        <v>0</v>
      </c>
      <c r="AB104" s="40">
        <f>IF(AQ104="1",BH104,0)</f>
        <v>0</v>
      </c>
      <c r="AC104" s="40">
        <f>IF(AQ104="1",BI104,0)</f>
        <v>0</v>
      </c>
      <c r="AD104" s="40">
        <f>IF(AQ104="7",BH104,0)</f>
        <v>0</v>
      </c>
      <c r="AE104" s="40">
        <f>IF(AQ104="7",BI104,0)</f>
        <v>0</v>
      </c>
      <c r="AF104" s="40">
        <f>IF(AQ104="2",BH104,0)</f>
        <v>0</v>
      </c>
      <c r="AG104" s="40">
        <f>IF(AQ104="2",BI104,0)</f>
        <v>0</v>
      </c>
      <c r="AH104" s="40">
        <f>IF(AQ104="0",BJ104,0)</f>
        <v>0</v>
      </c>
      <c r="AI104" s="11" t="s">
        <v>110</v>
      </c>
      <c r="AJ104" s="40">
        <f>IF(AN104=0,L104,0)</f>
        <v>0</v>
      </c>
      <c r="AK104" s="40">
        <f>IF(AN104=15,L104,0)</f>
        <v>0</v>
      </c>
      <c r="AL104" s="40">
        <f>IF(AN104=21,L104,0)</f>
        <v>0</v>
      </c>
      <c r="AN104" s="40">
        <v>21</v>
      </c>
      <c r="AO104" s="40">
        <f>I104*0</f>
        <v>0</v>
      </c>
      <c r="AP104" s="40">
        <f>I104*(1-0)</f>
        <v>0</v>
      </c>
      <c r="AQ104" s="17" t="s">
        <v>1260</v>
      </c>
      <c r="AV104" s="40">
        <f>AW104+AX104</f>
        <v>0</v>
      </c>
      <c r="AW104" s="40">
        <f>H104*AO104</f>
        <v>0</v>
      </c>
      <c r="AX104" s="40">
        <f>H104*AP104</f>
        <v>0</v>
      </c>
      <c r="AY104" s="17" t="s">
        <v>630</v>
      </c>
      <c r="AZ104" s="17" t="s">
        <v>550</v>
      </c>
      <c r="BA104" s="11" t="s">
        <v>871</v>
      </c>
      <c r="BC104" s="40">
        <f>AW104+AX104</f>
        <v>0</v>
      </c>
      <c r="BD104" s="40">
        <f>I104/(100-BE104)*100</f>
        <v>0</v>
      </c>
      <c r="BE104" s="40">
        <v>0</v>
      </c>
      <c r="BF104" s="40">
        <f>104</f>
        <v>104</v>
      </c>
      <c r="BH104" s="40">
        <f>H104*AO104</f>
        <v>0</v>
      </c>
      <c r="BI104" s="40">
        <f>H104*AP104</f>
        <v>0</v>
      </c>
      <c r="BJ104" s="40">
        <f>H104*I104</f>
        <v>0</v>
      </c>
      <c r="BK104" s="40"/>
      <c r="BL104" s="40">
        <v>12</v>
      </c>
    </row>
    <row r="105" spans="1:47" ht="15" customHeight="1">
      <c r="A105" s="24" t="s">
        <v>878</v>
      </c>
      <c r="B105" s="66" t="s">
        <v>368</v>
      </c>
      <c r="C105" s="92" t="s">
        <v>13</v>
      </c>
      <c r="D105" s="92"/>
      <c r="E105" s="92"/>
      <c r="F105" s="92"/>
      <c r="G105" s="3" t="s">
        <v>1172</v>
      </c>
      <c r="H105" s="3" t="s">
        <v>1172</v>
      </c>
      <c r="I105" s="3" t="s">
        <v>1172</v>
      </c>
      <c r="J105" s="63">
        <f>SUM(J106:J109)</f>
        <v>0</v>
      </c>
      <c r="K105" s="63">
        <f>SUM(K106:K109)</f>
        <v>0</v>
      </c>
      <c r="L105" s="63">
        <f>SUM(L106:L109)</f>
        <v>0</v>
      </c>
      <c r="M105" s="4" t="s">
        <v>878</v>
      </c>
      <c r="AI105" s="11" t="s">
        <v>110</v>
      </c>
      <c r="AS105" s="63">
        <f>SUM(AJ106:AJ109)</f>
        <v>0</v>
      </c>
      <c r="AT105" s="63">
        <f>SUM(AK106:AK109)</f>
        <v>0</v>
      </c>
      <c r="AU105" s="63">
        <f>SUM(AL106:AL109)</f>
        <v>0</v>
      </c>
    </row>
    <row r="106" spans="1:64" ht="15" customHeight="1">
      <c r="A106" s="19" t="s">
        <v>801</v>
      </c>
      <c r="B106" s="59" t="s">
        <v>1126</v>
      </c>
      <c r="C106" s="76" t="s">
        <v>180</v>
      </c>
      <c r="D106" s="76"/>
      <c r="E106" s="76"/>
      <c r="F106" s="76"/>
      <c r="G106" s="59" t="s">
        <v>1220</v>
      </c>
      <c r="H106" s="40">
        <v>736.3</v>
      </c>
      <c r="I106" s="40">
        <v>0</v>
      </c>
      <c r="J106" s="40">
        <f>H106*AO106</f>
        <v>0</v>
      </c>
      <c r="K106" s="40">
        <f>H106*AP106</f>
        <v>0</v>
      </c>
      <c r="L106" s="40">
        <f>H106*I106</f>
        <v>0</v>
      </c>
      <c r="M106" s="69" t="s">
        <v>868</v>
      </c>
      <c r="Z106" s="40">
        <f>IF(AQ106="5",BJ106,0)</f>
        <v>0</v>
      </c>
      <c r="AB106" s="40">
        <f>IF(AQ106="1",BH106,0)</f>
        <v>0</v>
      </c>
      <c r="AC106" s="40">
        <f>IF(AQ106="1",BI106,0)</f>
        <v>0</v>
      </c>
      <c r="AD106" s="40">
        <f>IF(AQ106="7",BH106,0)</f>
        <v>0</v>
      </c>
      <c r="AE106" s="40">
        <f>IF(AQ106="7",BI106,0)</f>
        <v>0</v>
      </c>
      <c r="AF106" s="40">
        <f>IF(AQ106="2",BH106,0)</f>
        <v>0</v>
      </c>
      <c r="AG106" s="40">
        <f>IF(AQ106="2",BI106,0)</f>
        <v>0</v>
      </c>
      <c r="AH106" s="40">
        <f>IF(AQ106="0",BJ106,0)</f>
        <v>0</v>
      </c>
      <c r="AI106" s="11" t="s">
        <v>110</v>
      </c>
      <c r="AJ106" s="40">
        <f>IF(AN106=0,L106,0)</f>
        <v>0</v>
      </c>
      <c r="AK106" s="40">
        <f>IF(AN106=15,L106,0)</f>
        <v>0</v>
      </c>
      <c r="AL106" s="40">
        <f>IF(AN106=21,L106,0)</f>
        <v>0</v>
      </c>
      <c r="AN106" s="40">
        <v>21</v>
      </c>
      <c r="AO106" s="40">
        <f>I106*0</f>
        <v>0</v>
      </c>
      <c r="AP106" s="40">
        <f>I106*(1-0)</f>
        <v>0</v>
      </c>
      <c r="AQ106" s="17" t="s">
        <v>1260</v>
      </c>
      <c r="AV106" s="40">
        <f>AW106+AX106</f>
        <v>0</v>
      </c>
      <c r="AW106" s="40">
        <f>H106*AO106</f>
        <v>0</v>
      </c>
      <c r="AX106" s="40">
        <f>H106*AP106</f>
        <v>0</v>
      </c>
      <c r="AY106" s="17" t="s">
        <v>1141</v>
      </c>
      <c r="AZ106" s="17" t="s">
        <v>550</v>
      </c>
      <c r="BA106" s="11" t="s">
        <v>871</v>
      </c>
      <c r="BC106" s="40">
        <f>AW106+AX106</f>
        <v>0</v>
      </c>
      <c r="BD106" s="40">
        <f>I106/(100-BE106)*100</f>
        <v>0</v>
      </c>
      <c r="BE106" s="40">
        <v>0</v>
      </c>
      <c r="BF106" s="40">
        <f>106</f>
        <v>106</v>
      </c>
      <c r="BH106" s="40">
        <f>H106*AO106</f>
        <v>0</v>
      </c>
      <c r="BI106" s="40">
        <f>H106*AP106</f>
        <v>0</v>
      </c>
      <c r="BJ106" s="40">
        <f>H106*I106</f>
        <v>0</v>
      </c>
      <c r="BK106" s="40"/>
      <c r="BL106" s="40">
        <v>13</v>
      </c>
    </row>
    <row r="107" spans="1:64" ht="15" customHeight="1">
      <c r="A107" s="19" t="s">
        <v>1203</v>
      </c>
      <c r="B107" s="59" t="s">
        <v>442</v>
      </c>
      <c r="C107" s="76" t="s">
        <v>1291</v>
      </c>
      <c r="D107" s="76"/>
      <c r="E107" s="76"/>
      <c r="F107" s="76"/>
      <c r="G107" s="59" t="s">
        <v>1220</v>
      </c>
      <c r="H107" s="40">
        <v>102</v>
      </c>
      <c r="I107" s="40">
        <v>0</v>
      </c>
      <c r="J107" s="40">
        <f>H107*AO107</f>
        <v>0</v>
      </c>
      <c r="K107" s="40">
        <f>H107*AP107</f>
        <v>0</v>
      </c>
      <c r="L107" s="40">
        <f>H107*I107</f>
        <v>0</v>
      </c>
      <c r="M107" s="69" t="s">
        <v>868</v>
      </c>
      <c r="Z107" s="40">
        <f>IF(AQ107="5",BJ107,0)</f>
        <v>0</v>
      </c>
      <c r="AB107" s="40">
        <f>IF(AQ107="1",BH107,0)</f>
        <v>0</v>
      </c>
      <c r="AC107" s="40">
        <f>IF(AQ107="1",BI107,0)</f>
        <v>0</v>
      </c>
      <c r="AD107" s="40">
        <f>IF(AQ107="7",BH107,0)</f>
        <v>0</v>
      </c>
      <c r="AE107" s="40">
        <f>IF(AQ107="7",BI107,0)</f>
        <v>0</v>
      </c>
      <c r="AF107" s="40">
        <f>IF(AQ107="2",BH107,0)</f>
        <v>0</v>
      </c>
      <c r="AG107" s="40">
        <f>IF(AQ107="2",BI107,0)</f>
        <v>0</v>
      </c>
      <c r="AH107" s="40">
        <f>IF(AQ107="0",BJ107,0)</f>
        <v>0</v>
      </c>
      <c r="AI107" s="11" t="s">
        <v>110</v>
      </c>
      <c r="AJ107" s="40">
        <f>IF(AN107=0,L107,0)</f>
        <v>0</v>
      </c>
      <c r="AK107" s="40">
        <f>IF(AN107=15,L107,0)</f>
        <v>0</v>
      </c>
      <c r="AL107" s="40">
        <f>IF(AN107=21,L107,0)</f>
        <v>0</v>
      </c>
      <c r="AN107" s="40">
        <v>21</v>
      </c>
      <c r="AO107" s="40">
        <f>I107*0</f>
        <v>0</v>
      </c>
      <c r="AP107" s="40">
        <f>I107*(1-0)</f>
        <v>0</v>
      </c>
      <c r="AQ107" s="17" t="s">
        <v>1260</v>
      </c>
      <c r="AV107" s="40">
        <f>AW107+AX107</f>
        <v>0</v>
      </c>
      <c r="AW107" s="40">
        <f>H107*AO107</f>
        <v>0</v>
      </c>
      <c r="AX107" s="40">
        <f>H107*AP107</f>
        <v>0</v>
      </c>
      <c r="AY107" s="17" t="s">
        <v>1141</v>
      </c>
      <c r="AZ107" s="17" t="s">
        <v>550</v>
      </c>
      <c r="BA107" s="11" t="s">
        <v>871</v>
      </c>
      <c r="BC107" s="40">
        <f>AW107+AX107</f>
        <v>0</v>
      </c>
      <c r="BD107" s="40">
        <f>I107/(100-BE107)*100</f>
        <v>0</v>
      </c>
      <c r="BE107" s="40">
        <v>0</v>
      </c>
      <c r="BF107" s="40">
        <f>107</f>
        <v>107</v>
      </c>
      <c r="BH107" s="40">
        <f>H107*AO107</f>
        <v>0</v>
      </c>
      <c r="BI107" s="40">
        <f>H107*AP107</f>
        <v>0</v>
      </c>
      <c r="BJ107" s="40">
        <f>H107*I107</f>
        <v>0</v>
      </c>
      <c r="BK107" s="40"/>
      <c r="BL107" s="40">
        <v>13</v>
      </c>
    </row>
    <row r="108" spans="1:64" ht="15" customHeight="1">
      <c r="A108" s="19" t="s">
        <v>739</v>
      </c>
      <c r="B108" s="59" t="s">
        <v>1126</v>
      </c>
      <c r="C108" s="76" t="s">
        <v>180</v>
      </c>
      <c r="D108" s="76"/>
      <c r="E108" s="76"/>
      <c r="F108" s="76"/>
      <c r="G108" s="59" t="s">
        <v>1220</v>
      </c>
      <c r="H108" s="40">
        <v>677.178</v>
      </c>
      <c r="I108" s="40">
        <v>0</v>
      </c>
      <c r="J108" s="40">
        <f>H108*AO108</f>
        <v>0</v>
      </c>
      <c r="K108" s="40">
        <f>H108*AP108</f>
        <v>0</v>
      </c>
      <c r="L108" s="40">
        <f>H108*I108</f>
        <v>0</v>
      </c>
      <c r="M108" s="69" t="s">
        <v>868</v>
      </c>
      <c r="Z108" s="40">
        <f>IF(AQ108="5",BJ108,0)</f>
        <v>0</v>
      </c>
      <c r="AB108" s="40">
        <f>IF(AQ108="1",BH108,0)</f>
        <v>0</v>
      </c>
      <c r="AC108" s="40">
        <f>IF(AQ108="1",BI108,0)</f>
        <v>0</v>
      </c>
      <c r="AD108" s="40">
        <f>IF(AQ108="7",BH108,0)</f>
        <v>0</v>
      </c>
      <c r="AE108" s="40">
        <f>IF(AQ108="7",BI108,0)</f>
        <v>0</v>
      </c>
      <c r="AF108" s="40">
        <f>IF(AQ108="2",BH108,0)</f>
        <v>0</v>
      </c>
      <c r="AG108" s="40">
        <f>IF(AQ108="2",BI108,0)</f>
        <v>0</v>
      </c>
      <c r="AH108" s="40">
        <f>IF(AQ108="0",BJ108,0)</f>
        <v>0</v>
      </c>
      <c r="AI108" s="11" t="s">
        <v>110</v>
      </c>
      <c r="AJ108" s="40">
        <f>IF(AN108=0,L108,0)</f>
        <v>0</v>
      </c>
      <c r="AK108" s="40">
        <f>IF(AN108=15,L108,0)</f>
        <v>0</v>
      </c>
      <c r="AL108" s="40">
        <f>IF(AN108=21,L108,0)</f>
        <v>0</v>
      </c>
      <c r="AN108" s="40">
        <v>21</v>
      </c>
      <c r="AO108" s="40">
        <f>I108*0</f>
        <v>0</v>
      </c>
      <c r="AP108" s="40">
        <f>I108*(1-0)</f>
        <v>0</v>
      </c>
      <c r="AQ108" s="17" t="s">
        <v>1260</v>
      </c>
      <c r="AV108" s="40">
        <f>AW108+AX108</f>
        <v>0</v>
      </c>
      <c r="AW108" s="40">
        <f>H108*AO108</f>
        <v>0</v>
      </c>
      <c r="AX108" s="40">
        <f>H108*AP108</f>
        <v>0</v>
      </c>
      <c r="AY108" s="17" t="s">
        <v>1141</v>
      </c>
      <c r="AZ108" s="17" t="s">
        <v>550</v>
      </c>
      <c r="BA108" s="11" t="s">
        <v>871</v>
      </c>
      <c r="BC108" s="40">
        <f>AW108+AX108</f>
        <v>0</v>
      </c>
      <c r="BD108" s="40">
        <f>I108/(100-BE108)*100</f>
        <v>0</v>
      </c>
      <c r="BE108" s="40">
        <v>0</v>
      </c>
      <c r="BF108" s="40">
        <f>108</f>
        <v>108</v>
      </c>
      <c r="BH108" s="40">
        <f>H108*AO108</f>
        <v>0</v>
      </c>
      <c r="BI108" s="40">
        <f>H108*AP108</f>
        <v>0</v>
      </c>
      <c r="BJ108" s="40">
        <f>H108*I108</f>
        <v>0</v>
      </c>
      <c r="BK108" s="40"/>
      <c r="BL108" s="40">
        <v>13</v>
      </c>
    </row>
    <row r="109" spans="1:64" ht="15" customHeight="1">
      <c r="A109" s="19" t="s">
        <v>558</v>
      </c>
      <c r="B109" s="59" t="s">
        <v>442</v>
      </c>
      <c r="C109" s="76" t="s">
        <v>1291</v>
      </c>
      <c r="D109" s="76"/>
      <c r="E109" s="76"/>
      <c r="F109" s="76"/>
      <c r="G109" s="59" t="s">
        <v>1220</v>
      </c>
      <c r="H109" s="40">
        <v>267.3</v>
      </c>
      <c r="I109" s="40">
        <v>0</v>
      </c>
      <c r="J109" s="40">
        <f>H109*AO109</f>
        <v>0</v>
      </c>
      <c r="K109" s="40">
        <f>H109*AP109</f>
        <v>0</v>
      </c>
      <c r="L109" s="40">
        <f>H109*I109</f>
        <v>0</v>
      </c>
      <c r="M109" s="69" t="s">
        <v>868</v>
      </c>
      <c r="Z109" s="40">
        <f>IF(AQ109="5",BJ109,0)</f>
        <v>0</v>
      </c>
      <c r="AB109" s="40">
        <f>IF(AQ109="1",BH109,0)</f>
        <v>0</v>
      </c>
      <c r="AC109" s="40">
        <f>IF(AQ109="1",BI109,0)</f>
        <v>0</v>
      </c>
      <c r="AD109" s="40">
        <f>IF(AQ109="7",BH109,0)</f>
        <v>0</v>
      </c>
      <c r="AE109" s="40">
        <f>IF(AQ109="7",BI109,0)</f>
        <v>0</v>
      </c>
      <c r="AF109" s="40">
        <f>IF(AQ109="2",BH109,0)</f>
        <v>0</v>
      </c>
      <c r="AG109" s="40">
        <f>IF(AQ109="2",BI109,0)</f>
        <v>0</v>
      </c>
      <c r="AH109" s="40">
        <f>IF(AQ109="0",BJ109,0)</f>
        <v>0</v>
      </c>
      <c r="AI109" s="11" t="s">
        <v>110</v>
      </c>
      <c r="AJ109" s="40">
        <f>IF(AN109=0,L109,0)</f>
        <v>0</v>
      </c>
      <c r="AK109" s="40">
        <f>IF(AN109=15,L109,0)</f>
        <v>0</v>
      </c>
      <c r="AL109" s="40">
        <f>IF(AN109=21,L109,0)</f>
        <v>0</v>
      </c>
      <c r="AN109" s="40">
        <v>21</v>
      </c>
      <c r="AO109" s="40">
        <f>I109*0</f>
        <v>0</v>
      </c>
      <c r="AP109" s="40">
        <f>I109*(1-0)</f>
        <v>0</v>
      </c>
      <c r="AQ109" s="17" t="s">
        <v>1260</v>
      </c>
      <c r="AV109" s="40">
        <f>AW109+AX109</f>
        <v>0</v>
      </c>
      <c r="AW109" s="40">
        <f>H109*AO109</f>
        <v>0</v>
      </c>
      <c r="AX109" s="40">
        <f>H109*AP109</f>
        <v>0</v>
      </c>
      <c r="AY109" s="17" t="s">
        <v>1141</v>
      </c>
      <c r="AZ109" s="17" t="s">
        <v>550</v>
      </c>
      <c r="BA109" s="11" t="s">
        <v>871</v>
      </c>
      <c r="BC109" s="40">
        <f>AW109+AX109</f>
        <v>0</v>
      </c>
      <c r="BD109" s="40">
        <f>I109/(100-BE109)*100</f>
        <v>0</v>
      </c>
      <c r="BE109" s="40">
        <v>0</v>
      </c>
      <c r="BF109" s="40">
        <f>109</f>
        <v>109</v>
      </c>
      <c r="BH109" s="40">
        <f>H109*AO109</f>
        <v>0</v>
      </c>
      <c r="BI109" s="40">
        <f>H109*AP109</f>
        <v>0</v>
      </c>
      <c r="BJ109" s="40">
        <f>H109*I109</f>
        <v>0</v>
      </c>
      <c r="BK109" s="40"/>
      <c r="BL109" s="40">
        <v>13</v>
      </c>
    </row>
    <row r="110" spans="1:47" ht="15" customHeight="1">
      <c r="A110" s="24" t="s">
        <v>878</v>
      </c>
      <c r="B110" s="66" t="s">
        <v>751</v>
      </c>
      <c r="C110" s="92" t="s">
        <v>729</v>
      </c>
      <c r="D110" s="92"/>
      <c r="E110" s="92"/>
      <c r="F110" s="92"/>
      <c r="G110" s="3" t="s">
        <v>1172</v>
      </c>
      <c r="H110" s="3" t="s">
        <v>1172</v>
      </c>
      <c r="I110" s="3" t="s">
        <v>1172</v>
      </c>
      <c r="J110" s="63">
        <f>SUM(J111:J112)</f>
        <v>0</v>
      </c>
      <c r="K110" s="63">
        <f>SUM(K111:K112)</f>
        <v>0</v>
      </c>
      <c r="L110" s="63">
        <f>SUM(L111:L112)</f>
        <v>0</v>
      </c>
      <c r="M110" s="4" t="s">
        <v>878</v>
      </c>
      <c r="AI110" s="11" t="s">
        <v>110</v>
      </c>
      <c r="AS110" s="63">
        <f>SUM(AJ111:AJ112)</f>
        <v>0</v>
      </c>
      <c r="AT110" s="63">
        <f>SUM(AK111:AK112)</f>
        <v>0</v>
      </c>
      <c r="AU110" s="63">
        <f>SUM(AL111:AL112)</f>
        <v>0</v>
      </c>
    </row>
    <row r="111" spans="1:64" ht="15" customHeight="1">
      <c r="A111" s="19" t="s">
        <v>159</v>
      </c>
      <c r="B111" s="59" t="s">
        <v>833</v>
      </c>
      <c r="C111" s="76" t="s">
        <v>480</v>
      </c>
      <c r="D111" s="76"/>
      <c r="E111" s="76"/>
      <c r="F111" s="76"/>
      <c r="G111" s="59" t="s">
        <v>1041</v>
      </c>
      <c r="H111" s="40">
        <v>14</v>
      </c>
      <c r="I111" s="40">
        <v>0</v>
      </c>
      <c r="J111" s="40">
        <f>H111*AO111</f>
        <v>0</v>
      </c>
      <c r="K111" s="40">
        <f>H111*AP111</f>
        <v>0</v>
      </c>
      <c r="L111" s="40">
        <f>H111*I111</f>
        <v>0</v>
      </c>
      <c r="M111" s="69" t="s">
        <v>868</v>
      </c>
      <c r="Z111" s="40">
        <f>IF(AQ111="5",BJ111,0)</f>
        <v>0</v>
      </c>
      <c r="AB111" s="40">
        <f>IF(AQ111="1",BH111,0)</f>
        <v>0</v>
      </c>
      <c r="AC111" s="40">
        <f>IF(AQ111="1",BI111,0)</f>
        <v>0</v>
      </c>
      <c r="AD111" s="40">
        <f>IF(AQ111="7",BH111,0)</f>
        <v>0</v>
      </c>
      <c r="AE111" s="40">
        <f>IF(AQ111="7",BI111,0)</f>
        <v>0</v>
      </c>
      <c r="AF111" s="40">
        <f>IF(AQ111="2",BH111,0)</f>
        <v>0</v>
      </c>
      <c r="AG111" s="40">
        <f>IF(AQ111="2",BI111,0)</f>
        <v>0</v>
      </c>
      <c r="AH111" s="40">
        <f>IF(AQ111="0",BJ111,0)</f>
        <v>0</v>
      </c>
      <c r="AI111" s="11" t="s">
        <v>110</v>
      </c>
      <c r="AJ111" s="40">
        <f>IF(AN111=0,L111,0)</f>
        <v>0</v>
      </c>
      <c r="AK111" s="40">
        <f>IF(AN111=15,L111,0)</f>
        <v>0</v>
      </c>
      <c r="AL111" s="40">
        <f>IF(AN111=21,L111,0)</f>
        <v>0</v>
      </c>
      <c r="AN111" s="40">
        <v>21</v>
      </c>
      <c r="AO111" s="40">
        <f>I111*0.0148385593368061</f>
        <v>0</v>
      </c>
      <c r="AP111" s="40">
        <f>I111*(1-0.0148385593368061)</f>
        <v>0</v>
      </c>
      <c r="AQ111" s="17" t="s">
        <v>1260</v>
      </c>
      <c r="AV111" s="40">
        <f>AW111+AX111</f>
        <v>0</v>
      </c>
      <c r="AW111" s="40">
        <f>H111*AO111</f>
        <v>0</v>
      </c>
      <c r="AX111" s="40">
        <f>H111*AP111</f>
        <v>0</v>
      </c>
      <c r="AY111" s="17" t="s">
        <v>1324</v>
      </c>
      <c r="AZ111" s="17" t="s">
        <v>550</v>
      </c>
      <c r="BA111" s="11" t="s">
        <v>871</v>
      </c>
      <c r="BC111" s="40">
        <f>AW111+AX111</f>
        <v>0</v>
      </c>
      <c r="BD111" s="40">
        <f>I111/(100-BE111)*100</f>
        <v>0</v>
      </c>
      <c r="BE111" s="40">
        <v>0</v>
      </c>
      <c r="BF111" s="40">
        <f>111</f>
        <v>111</v>
      </c>
      <c r="BH111" s="40">
        <f>H111*AO111</f>
        <v>0</v>
      </c>
      <c r="BI111" s="40">
        <f>H111*AP111</f>
        <v>0</v>
      </c>
      <c r="BJ111" s="40">
        <f>H111*I111</f>
        <v>0</v>
      </c>
      <c r="BK111" s="40"/>
      <c r="BL111" s="40">
        <v>14</v>
      </c>
    </row>
    <row r="112" spans="1:64" ht="15" customHeight="1">
      <c r="A112" s="19" t="s">
        <v>920</v>
      </c>
      <c r="B112" s="59" t="s">
        <v>730</v>
      </c>
      <c r="C112" s="76" t="s">
        <v>726</v>
      </c>
      <c r="D112" s="76"/>
      <c r="E112" s="76"/>
      <c r="F112" s="76"/>
      <c r="G112" s="59" t="s">
        <v>1041</v>
      </c>
      <c r="H112" s="40">
        <v>14</v>
      </c>
      <c r="I112" s="40">
        <v>0</v>
      </c>
      <c r="J112" s="40">
        <f>H112*AO112</f>
        <v>0</v>
      </c>
      <c r="K112" s="40">
        <f>H112*AP112</f>
        <v>0</v>
      </c>
      <c r="L112" s="40">
        <f>H112*I112</f>
        <v>0</v>
      </c>
      <c r="M112" s="69" t="s">
        <v>868</v>
      </c>
      <c r="Z112" s="40">
        <f>IF(AQ112="5",BJ112,0)</f>
        <v>0</v>
      </c>
      <c r="AB112" s="40">
        <f>IF(AQ112="1",BH112,0)</f>
        <v>0</v>
      </c>
      <c r="AC112" s="40">
        <f>IF(AQ112="1",BI112,0)</f>
        <v>0</v>
      </c>
      <c r="AD112" s="40">
        <f>IF(AQ112="7",BH112,0)</f>
        <v>0</v>
      </c>
      <c r="AE112" s="40">
        <f>IF(AQ112="7",BI112,0)</f>
        <v>0</v>
      </c>
      <c r="AF112" s="40">
        <f>IF(AQ112="2",BH112,0)</f>
        <v>0</v>
      </c>
      <c r="AG112" s="40">
        <f>IF(AQ112="2",BI112,0)</f>
        <v>0</v>
      </c>
      <c r="AH112" s="40">
        <f>IF(AQ112="0",BJ112,0)</f>
        <v>0</v>
      </c>
      <c r="AI112" s="11" t="s">
        <v>110</v>
      </c>
      <c r="AJ112" s="40">
        <f>IF(AN112=0,L112,0)</f>
        <v>0</v>
      </c>
      <c r="AK112" s="40">
        <f>IF(AN112=15,L112,0)</f>
        <v>0</v>
      </c>
      <c r="AL112" s="40">
        <f>IF(AN112=21,L112,0)</f>
        <v>0</v>
      </c>
      <c r="AN112" s="40">
        <v>21</v>
      </c>
      <c r="AO112" s="40">
        <f>I112*1</f>
        <v>0</v>
      </c>
      <c r="AP112" s="40">
        <f>I112*(1-1)</f>
        <v>0</v>
      </c>
      <c r="AQ112" s="17" t="s">
        <v>1260</v>
      </c>
      <c r="AV112" s="40">
        <f>AW112+AX112</f>
        <v>0</v>
      </c>
      <c r="AW112" s="40">
        <f>H112*AO112</f>
        <v>0</v>
      </c>
      <c r="AX112" s="40">
        <f>H112*AP112</f>
        <v>0</v>
      </c>
      <c r="AY112" s="17" t="s">
        <v>1324</v>
      </c>
      <c r="AZ112" s="17" t="s">
        <v>550</v>
      </c>
      <c r="BA112" s="11" t="s">
        <v>871</v>
      </c>
      <c r="BC112" s="40">
        <f>AW112+AX112</f>
        <v>0</v>
      </c>
      <c r="BD112" s="40">
        <f>I112/(100-BE112)*100</f>
        <v>0</v>
      </c>
      <c r="BE112" s="40">
        <v>0</v>
      </c>
      <c r="BF112" s="40">
        <f>112</f>
        <v>112</v>
      </c>
      <c r="BH112" s="40">
        <f>H112*AO112</f>
        <v>0</v>
      </c>
      <c r="BI112" s="40">
        <f>H112*AP112</f>
        <v>0</v>
      </c>
      <c r="BJ112" s="40">
        <f>H112*I112</f>
        <v>0</v>
      </c>
      <c r="BK112" s="40"/>
      <c r="BL112" s="40">
        <v>14</v>
      </c>
    </row>
    <row r="113" spans="1:47" ht="15" customHeight="1">
      <c r="A113" s="24" t="s">
        <v>878</v>
      </c>
      <c r="B113" s="66" t="s">
        <v>484</v>
      </c>
      <c r="C113" s="92" t="s">
        <v>1090</v>
      </c>
      <c r="D113" s="92"/>
      <c r="E113" s="92"/>
      <c r="F113" s="92"/>
      <c r="G113" s="3" t="s">
        <v>1172</v>
      </c>
      <c r="H113" s="3" t="s">
        <v>1172</v>
      </c>
      <c r="I113" s="3" t="s">
        <v>1172</v>
      </c>
      <c r="J113" s="63">
        <f>SUM(J114:J117)</f>
        <v>0</v>
      </c>
      <c r="K113" s="63">
        <f>SUM(K114:K117)</f>
        <v>0</v>
      </c>
      <c r="L113" s="63">
        <f>SUM(L114:L117)</f>
        <v>0</v>
      </c>
      <c r="M113" s="4" t="s">
        <v>878</v>
      </c>
      <c r="AI113" s="11" t="s">
        <v>110</v>
      </c>
      <c r="AS113" s="63">
        <f>SUM(AJ114:AJ117)</f>
        <v>0</v>
      </c>
      <c r="AT113" s="63">
        <f>SUM(AK114:AK117)</f>
        <v>0</v>
      </c>
      <c r="AU113" s="63">
        <f>SUM(AL114:AL117)</f>
        <v>0</v>
      </c>
    </row>
    <row r="114" spans="1:64" ht="15" customHeight="1">
      <c r="A114" s="19" t="s">
        <v>1403</v>
      </c>
      <c r="B114" s="59" t="s">
        <v>1390</v>
      </c>
      <c r="C114" s="76" t="s">
        <v>281</v>
      </c>
      <c r="D114" s="76"/>
      <c r="E114" s="76"/>
      <c r="F114" s="76"/>
      <c r="G114" s="59" t="s">
        <v>1243</v>
      </c>
      <c r="H114" s="40">
        <v>2114.84</v>
      </c>
      <c r="I114" s="40">
        <v>0</v>
      </c>
      <c r="J114" s="40">
        <f>H114*AO114</f>
        <v>0</v>
      </c>
      <c r="K114" s="40">
        <f>H114*AP114</f>
        <v>0</v>
      </c>
      <c r="L114" s="40">
        <f>H114*I114</f>
        <v>0</v>
      </c>
      <c r="M114" s="69" t="s">
        <v>868</v>
      </c>
      <c r="Z114" s="40">
        <f>IF(AQ114="5",BJ114,0)</f>
        <v>0</v>
      </c>
      <c r="AB114" s="40">
        <f>IF(AQ114="1",BH114,0)</f>
        <v>0</v>
      </c>
      <c r="AC114" s="40">
        <f>IF(AQ114="1",BI114,0)</f>
        <v>0</v>
      </c>
      <c r="AD114" s="40">
        <f>IF(AQ114="7",BH114,0)</f>
        <v>0</v>
      </c>
      <c r="AE114" s="40">
        <f>IF(AQ114="7",BI114,0)</f>
        <v>0</v>
      </c>
      <c r="AF114" s="40">
        <f>IF(AQ114="2",BH114,0)</f>
        <v>0</v>
      </c>
      <c r="AG114" s="40">
        <f>IF(AQ114="2",BI114,0)</f>
        <v>0</v>
      </c>
      <c r="AH114" s="40">
        <f>IF(AQ114="0",BJ114,0)</f>
        <v>0</v>
      </c>
      <c r="AI114" s="11" t="s">
        <v>110</v>
      </c>
      <c r="AJ114" s="40">
        <f>IF(AN114=0,L114,0)</f>
        <v>0</v>
      </c>
      <c r="AK114" s="40">
        <f>IF(AN114=15,L114,0)</f>
        <v>0</v>
      </c>
      <c r="AL114" s="40">
        <f>IF(AN114=21,L114,0)</f>
        <v>0</v>
      </c>
      <c r="AN114" s="40">
        <v>21</v>
      </c>
      <c r="AO114" s="40">
        <f>I114*0.0932214765100671</f>
        <v>0</v>
      </c>
      <c r="AP114" s="40">
        <f>I114*(1-0.0932214765100671)</f>
        <v>0</v>
      </c>
      <c r="AQ114" s="17" t="s">
        <v>1260</v>
      </c>
      <c r="AV114" s="40">
        <f>AW114+AX114</f>
        <v>0</v>
      </c>
      <c r="AW114" s="40">
        <f>H114*AO114</f>
        <v>0</v>
      </c>
      <c r="AX114" s="40">
        <f>H114*AP114</f>
        <v>0</v>
      </c>
      <c r="AY114" s="17" t="s">
        <v>894</v>
      </c>
      <c r="AZ114" s="17" t="s">
        <v>550</v>
      </c>
      <c r="BA114" s="11" t="s">
        <v>871</v>
      </c>
      <c r="BC114" s="40">
        <f>AW114+AX114</f>
        <v>0</v>
      </c>
      <c r="BD114" s="40">
        <f>I114/(100-BE114)*100</f>
        <v>0</v>
      </c>
      <c r="BE114" s="40">
        <v>0</v>
      </c>
      <c r="BF114" s="40">
        <f>114</f>
        <v>114</v>
      </c>
      <c r="BH114" s="40">
        <f>H114*AO114</f>
        <v>0</v>
      </c>
      <c r="BI114" s="40">
        <f>H114*AP114</f>
        <v>0</v>
      </c>
      <c r="BJ114" s="40">
        <f>H114*I114</f>
        <v>0</v>
      </c>
      <c r="BK114" s="40"/>
      <c r="BL114" s="40">
        <v>15</v>
      </c>
    </row>
    <row r="115" spans="1:64" ht="15" customHeight="1">
      <c r="A115" s="19" t="s">
        <v>285</v>
      </c>
      <c r="B115" s="59" t="s">
        <v>860</v>
      </c>
      <c r="C115" s="76" t="s">
        <v>1222</v>
      </c>
      <c r="D115" s="76"/>
      <c r="E115" s="76"/>
      <c r="F115" s="76"/>
      <c r="G115" s="59" t="s">
        <v>1243</v>
      </c>
      <c r="H115" s="40">
        <v>2114.84</v>
      </c>
      <c r="I115" s="40">
        <v>0</v>
      </c>
      <c r="J115" s="40">
        <f>H115*AO115</f>
        <v>0</v>
      </c>
      <c r="K115" s="40">
        <f>H115*AP115</f>
        <v>0</v>
      </c>
      <c r="L115" s="40">
        <f>H115*I115</f>
        <v>0</v>
      </c>
      <c r="M115" s="69" t="s">
        <v>868</v>
      </c>
      <c r="Z115" s="40">
        <f>IF(AQ115="5",BJ115,0)</f>
        <v>0</v>
      </c>
      <c r="AB115" s="40">
        <f>IF(AQ115="1",BH115,0)</f>
        <v>0</v>
      </c>
      <c r="AC115" s="40">
        <f>IF(AQ115="1",BI115,0)</f>
        <v>0</v>
      </c>
      <c r="AD115" s="40">
        <f>IF(AQ115="7",BH115,0)</f>
        <v>0</v>
      </c>
      <c r="AE115" s="40">
        <f>IF(AQ115="7",BI115,0)</f>
        <v>0</v>
      </c>
      <c r="AF115" s="40">
        <f>IF(AQ115="2",BH115,0)</f>
        <v>0</v>
      </c>
      <c r="AG115" s="40">
        <f>IF(AQ115="2",BI115,0)</f>
        <v>0</v>
      </c>
      <c r="AH115" s="40">
        <f>IF(AQ115="0",BJ115,0)</f>
        <v>0</v>
      </c>
      <c r="AI115" s="11" t="s">
        <v>110</v>
      </c>
      <c r="AJ115" s="40">
        <f>IF(AN115=0,L115,0)</f>
        <v>0</v>
      </c>
      <c r="AK115" s="40">
        <f>IF(AN115=15,L115,0)</f>
        <v>0</v>
      </c>
      <c r="AL115" s="40">
        <f>IF(AN115=21,L115,0)</f>
        <v>0</v>
      </c>
      <c r="AN115" s="40">
        <v>21</v>
      </c>
      <c r="AO115" s="40">
        <f>I115*0</f>
        <v>0</v>
      </c>
      <c r="AP115" s="40">
        <f>I115*(1-0)</f>
        <v>0</v>
      </c>
      <c r="AQ115" s="17" t="s">
        <v>1260</v>
      </c>
      <c r="AV115" s="40">
        <f>AW115+AX115</f>
        <v>0</v>
      </c>
      <c r="AW115" s="40">
        <f>H115*AO115</f>
        <v>0</v>
      </c>
      <c r="AX115" s="40">
        <f>H115*AP115</f>
        <v>0</v>
      </c>
      <c r="AY115" s="17" t="s">
        <v>894</v>
      </c>
      <c r="AZ115" s="17" t="s">
        <v>550</v>
      </c>
      <c r="BA115" s="11" t="s">
        <v>871</v>
      </c>
      <c r="BC115" s="40">
        <f>AW115+AX115</f>
        <v>0</v>
      </c>
      <c r="BD115" s="40">
        <f>I115/(100-BE115)*100</f>
        <v>0</v>
      </c>
      <c r="BE115" s="40">
        <v>0</v>
      </c>
      <c r="BF115" s="40">
        <f>115</f>
        <v>115</v>
      </c>
      <c r="BH115" s="40">
        <f>H115*AO115</f>
        <v>0</v>
      </c>
      <c r="BI115" s="40">
        <f>H115*AP115</f>
        <v>0</v>
      </c>
      <c r="BJ115" s="40">
        <f>H115*I115</f>
        <v>0</v>
      </c>
      <c r="BK115" s="40"/>
      <c r="BL115" s="40">
        <v>15</v>
      </c>
    </row>
    <row r="116" spans="1:64" ht="15" customHeight="1">
      <c r="A116" s="19" t="s">
        <v>609</v>
      </c>
      <c r="B116" s="59" t="s">
        <v>160</v>
      </c>
      <c r="C116" s="76" t="s">
        <v>384</v>
      </c>
      <c r="D116" s="76"/>
      <c r="E116" s="76"/>
      <c r="F116" s="76"/>
      <c r="G116" s="59" t="s">
        <v>1243</v>
      </c>
      <c r="H116" s="40">
        <v>884</v>
      </c>
      <c r="I116" s="40">
        <v>0</v>
      </c>
      <c r="J116" s="40">
        <f>H116*AO116</f>
        <v>0</v>
      </c>
      <c r="K116" s="40">
        <f>H116*AP116</f>
        <v>0</v>
      </c>
      <c r="L116" s="40">
        <f>H116*I116</f>
        <v>0</v>
      </c>
      <c r="M116" s="69" t="s">
        <v>868</v>
      </c>
      <c r="Z116" s="40">
        <f>IF(AQ116="5",BJ116,0)</f>
        <v>0</v>
      </c>
      <c r="AB116" s="40">
        <f>IF(AQ116="1",BH116,0)</f>
        <v>0</v>
      </c>
      <c r="AC116" s="40">
        <f>IF(AQ116="1",BI116,0)</f>
        <v>0</v>
      </c>
      <c r="AD116" s="40">
        <f>IF(AQ116="7",BH116,0)</f>
        <v>0</v>
      </c>
      <c r="AE116" s="40">
        <f>IF(AQ116="7",BI116,0)</f>
        <v>0</v>
      </c>
      <c r="AF116" s="40">
        <f>IF(AQ116="2",BH116,0)</f>
        <v>0</v>
      </c>
      <c r="AG116" s="40">
        <f>IF(AQ116="2",BI116,0)</f>
        <v>0</v>
      </c>
      <c r="AH116" s="40">
        <f>IF(AQ116="0",BJ116,0)</f>
        <v>0</v>
      </c>
      <c r="AI116" s="11" t="s">
        <v>110</v>
      </c>
      <c r="AJ116" s="40">
        <f>IF(AN116=0,L116,0)</f>
        <v>0</v>
      </c>
      <c r="AK116" s="40">
        <f>IF(AN116=15,L116,0)</f>
        <v>0</v>
      </c>
      <c r="AL116" s="40">
        <f>IF(AN116=21,L116,0)</f>
        <v>0</v>
      </c>
      <c r="AN116" s="40">
        <v>21</v>
      </c>
      <c r="AO116" s="40">
        <f>I116*0.0997231833910035</f>
        <v>0</v>
      </c>
      <c r="AP116" s="40">
        <f>I116*(1-0.0997231833910035)</f>
        <v>0</v>
      </c>
      <c r="AQ116" s="17" t="s">
        <v>1260</v>
      </c>
      <c r="AV116" s="40">
        <f>AW116+AX116</f>
        <v>0</v>
      </c>
      <c r="AW116" s="40">
        <f>H116*AO116</f>
        <v>0</v>
      </c>
      <c r="AX116" s="40">
        <f>H116*AP116</f>
        <v>0</v>
      </c>
      <c r="AY116" s="17" t="s">
        <v>894</v>
      </c>
      <c r="AZ116" s="17" t="s">
        <v>550</v>
      </c>
      <c r="BA116" s="11" t="s">
        <v>871</v>
      </c>
      <c r="BC116" s="40">
        <f>AW116+AX116</f>
        <v>0</v>
      </c>
      <c r="BD116" s="40">
        <f>I116/(100-BE116)*100</f>
        <v>0</v>
      </c>
      <c r="BE116" s="40">
        <v>0</v>
      </c>
      <c r="BF116" s="40">
        <f>116</f>
        <v>116</v>
      </c>
      <c r="BH116" s="40">
        <f>H116*AO116</f>
        <v>0</v>
      </c>
      <c r="BI116" s="40">
        <f>H116*AP116</f>
        <v>0</v>
      </c>
      <c r="BJ116" s="40">
        <f>H116*I116</f>
        <v>0</v>
      </c>
      <c r="BK116" s="40"/>
      <c r="BL116" s="40">
        <v>15</v>
      </c>
    </row>
    <row r="117" spans="1:64" ht="15" customHeight="1">
      <c r="A117" s="19" t="s">
        <v>1394</v>
      </c>
      <c r="B117" s="59" t="s">
        <v>467</v>
      </c>
      <c r="C117" s="76" t="s">
        <v>469</v>
      </c>
      <c r="D117" s="76"/>
      <c r="E117" s="76"/>
      <c r="F117" s="76"/>
      <c r="G117" s="59" t="s">
        <v>1243</v>
      </c>
      <c r="H117" s="40">
        <v>914</v>
      </c>
      <c r="I117" s="40">
        <v>0</v>
      </c>
      <c r="J117" s="40">
        <f>H117*AO117</f>
        <v>0</v>
      </c>
      <c r="K117" s="40">
        <f>H117*AP117</f>
        <v>0</v>
      </c>
      <c r="L117" s="40">
        <f>H117*I117</f>
        <v>0</v>
      </c>
      <c r="M117" s="69" t="s">
        <v>868</v>
      </c>
      <c r="Z117" s="40">
        <f>IF(AQ117="5",BJ117,0)</f>
        <v>0</v>
      </c>
      <c r="AB117" s="40">
        <f>IF(AQ117="1",BH117,0)</f>
        <v>0</v>
      </c>
      <c r="AC117" s="40">
        <f>IF(AQ117="1",BI117,0)</f>
        <v>0</v>
      </c>
      <c r="AD117" s="40">
        <f>IF(AQ117="7",BH117,0)</f>
        <v>0</v>
      </c>
      <c r="AE117" s="40">
        <f>IF(AQ117="7",BI117,0)</f>
        <v>0</v>
      </c>
      <c r="AF117" s="40">
        <f>IF(AQ117="2",BH117,0)</f>
        <v>0</v>
      </c>
      <c r="AG117" s="40">
        <f>IF(AQ117="2",BI117,0)</f>
        <v>0</v>
      </c>
      <c r="AH117" s="40">
        <f>IF(AQ117="0",BJ117,0)</f>
        <v>0</v>
      </c>
      <c r="AI117" s="11" t="s">
        <v>110</v>
      </c>
      <c r="AJ117" s="40">
        <f>IF(AN117=0,L117,0)</f>
        <v>0</v>
      </c>
      <c r="AK117" s="40">
        <f>IF(AN117=15,L117,0)</f>
        <v>0</v>
      </c>
      <c r="AL117" s="40">
        <f>IF(AN117=21,L117,0)</f>
        <v>0</v>
      </c>
      <c r="AN117" s="40">
        <v>21</v>
      </c>
      <c r="AO117" s="40">
        <f>I117*0</f>
        <v>0</v>
      </c>
      <c r="AP117" s="40">
        <f>I117*(1-0)</f>
        <v>0</v>
      </c>
      <c r="AQ117" s="17" t="s">
        <v>1260</v>
      </c>
      <c r="AV117" s="40">
        <f>AW117+AX117</f>
        <v>0</v>
      </c>
      <c r="AW117" s="40">
        <f>H117*AO117</f>
        <v>0</v>
      </c>
      <c r="AX117" s="40">
        <f>H117*AP117</f>
        <v>0</v>
      </c>
      <c r="AY117" s="17" t="s">
        <v>894</v>
      </c>
      <c r="AZ117" s="17" t="s">
        <v>550</v>
      </c>
      <c r="BA117" s="11" t="s">
        <v>871</v>
      </c>
      <c r="BC117" s="40">
        <f>AW117+AX117</f>
        <v>0</v>
      </c>
      <c r="BD117" s="40">
        <f>I117/(100-BE117)*100</f>
        <v>0</v>
      </c>
      <c r="BE117" s="40">
        <v>0</v>
      </c>
      <c r="BF117" s="40">
        <f>117</f>
        <v>117</v>
      </c>
      <c r="BH117" s="40">
        <f>H117*AO117</f>
        <v>0</v>
      </c>
      <c r="BI117" s="40">
        <f>H117*AP117</f>
        <v>0</v>
      </c>
      <c r="BJ117" s="40">
        <f>H117*I117</f>
        <v>0</v>
      </c>
      <c r="BK117" s="40"/>
      <c r="BL117" s="40">
        <v>15</v>
      </c>
    </row>
    <row r="118" spans="1:47" ht="15" customHeight="1">
      <c r="A118" s="24" t="s">
        <v>878</v>
      </c>
      <c r="B118" s="66" t="s">
        <v>123</v>
      </c>
      <c r="C118" s="92" t="s">
        <v>1052</v>
      </c>
      <c r="D118" s="92"/>
      <c r="E118" s="92"/>
      <c r="F118" s="92"/>
      <c r="G118" s="3" t="s">
        <v>1172</v>
      </c>
      <c r="H118" s="3" t="s">
        <v>1172</v>
      </c>
      <c r="I118" s="3" t="s">
        <v>1172</v>
      </c>
      <c r="J118" s="63">
        <f>SUM(J119:J120)</f>
        <v>0</v>
      </c>
      <c r="K118" s="63">
        <f>SUM(K119:K120)</f>
        <v>0</v>
      </c>
      <c r="L118" s="63">
        <f>SUM(L119:L120)</f>
        <v>0</v>
      </c>
      <c r="M118" s="4" t="s">
        <v>878</v>
      </c>
      <c r="AI118" s="11" t="s">
        <v>110</v>
      </c>
      <c r="AS118" s="63">
        <f>SUM(AJ119:AJ120)</f>
        <v>0</v>
      </c>
      <c r="AT118" s="63">
        <f>SUM(AK119:AK120)</f>
        <v>0</v>
      </c>
      <c r="AU118" s="63">
        <f>SUM(AL119:AL120)</f>
        <v>0</v>
      </c>
    </row>
    <row r="119" spans="1:64" ht="15" customHeight="1">
      <c r="A119" s="19" t="s">
        <v>1309</v>
      </c>
      <c r="B119" s="59" t="s">
        <v>20</v>
      </c>
      <c r="C119" s="76" t="s">
        <v>1058</v>
      </c>
      <c r="D119" s="76"/>
      <c r="E119" s="76"/>
      <c r="F119" s="76"/>
      <c r="G119" s="59" t="s">
        <v>1220</v>
      </c>
      <c r="H119" s="40">
        <v>169.47</v>
      </c>
      <c r="I119" s="40">
        <v>0</v>
      </c>
      <c r="J119" s="40">
        <f>H119*AO119</f>
        <v>0</v>
      </c>
      <c r="K119" s="40">
        <f>H119*AP119</f>
        <v>0</v>
      </c>
      <c r="L119" s="40">
        <f>H119*I119</f>
        <v>0</v>
      </c>
      <c r="M119" s="69" t="s">
        <v>868</v>
      </c>
      <c r="Z119" s="40">
        <f>IF(AQ119="5",BJ119,0)</f>
        <v>0</v>
      </c>
      <c r="AB119" s="40">
        <f>IF(AQ119="1",BH119,0)</f>
        <v>0</v>
      </c>
      <c r="AC119" s="40">
        <f>IF(AQ119="1",BI119,0)</f>
        <v>0</v>
      </c>
      <c r="AD119" s="40">
        <f>IF(AQ119="7",BH119,0)</f>
        <v>0</v>
      </c>
      <c r="AE119" s="40">
        <f>IF(AQ119="7",BI119,0)</f>
        <v>0</v>
      </c>
      <c r="AF119" s="40">
        <f>IF(AQ119="2",BH119,0)</f>
        <v>0</v>
      </c>
      <c r="AG119" s="40">
        <f>IF(AQ119="2",BI119,0)</f>
        <v>0</v>
      </c>
      <c r="AH119" s="40">
        <f>IF(AQ119="0",BJ119,0)</f>
        <v>0</v>
      </c>
      <c r="AI119" s="11" t="s">
        <v>110</v>
      </c>
      <c r="AJ119" s="40">
        <f>IF(AN119=0,L119,0)</f>
        <v>0</v>
      </c>
      <c r="AK119" s="40">
        <f>IF(AN119=15,L119,0)</f>
        <v>0</v>
      </c>
      <c r="AL119" s="40">
        <f>IF(AN119=21,L119,0)</f>
        <v>0</v>
      </c>
      <c r="AN119" s="40">
        <v>21</v>
      </c>
      <c r="AO119" s="40">
        <f>I119*0</f>
        <v>0</v>
      </c>
      <c r="AP119" s="40">
        <f>I119*(1-0)</f>
        <v>0</v>
      </c>
      <c r="AQ119" s="17" t="s">
        <v>1260</v>
      </c>
      <c r="AV119" s="40">
        <f>AW119+AX119</f>
        <v>0</v>
      </c>
      <c r="AW119" s="40">
        <f>H119*AO119</f>
        <v>0</v>
      </c>
      <c r="AX119" s="40">
        <f>H119*AP119</f>
        <v>0</v>
      </c>
      <c r="AY119" s="17" t="s">
        <v>1175</v>
      </c>
      <c r="AZ119" s="17" t="s">
        <v>550</v>
      </c>
      <c r="BA119" s="11" t="s">
        <v>871</v>
      </c>
      <c r="BC119" s="40">
        <f>AW119+AX119</f>
        <v>0</v>
      </c>
      <c r="BD119" s="40">
        <f>I119/(100-BE119)*100</f>
        <v>0</v>
      </c>
      <c r="BE119" s="40">
        <v>0</v>
      </c>
      <c r="BF119" s="40">
        <f>119</f>
        <v>119</v>
      </c>
      <c r="BH119" s="40">
        <f>H119*AO119</f>
        <v>0</v>
      </c>
      <c r="BI119" s="40">
        <f>H119*AP119</f>
        <v>0</v>
      </c>
      <c r="BJ119" s="40">
        <f>H119*I119</f>
        <v>0</v>
      </c>
      <c r="BK119" s="40"/>
      <c r="BL119" s="40">
        <v>16</v>
      </c>
    </row>
    <row r="120" spans="1:64" ht="15" customHeight="1">
      <c r="A120" s="19" t="s">
        <v>25</v>
      </c>
      <c r="B120" s="59" t="s">
        <v>572</v>
      </c>
      <c r="C120" s="76" t="s">
        <v>677</v>
      </c>
      <c r="D120" s="76"/>
      <c r="E120" s="76"/>
      <c r="F120" s="76"/>
      <c r="G120" s="59" t="s">
        <v>1220</v>
      </c>
      <c r="H120" s="40">
        <v>1694.7</v>
      </c>
      <c r="I120" s="40">
        <v>0</v>
      </c>
      <c r="J120" s="40">
        <f>H120*AO120</f>
        <v>0</v>
      </c>
      <c r="K120" s="40">
        <f>H120*AP120</f>
        <v>0</v>
      </c>
      <c r="L120" s="40">
        <f>H120*I120</f>
        <v>0</v>
      </c>
      <c r="M120" s="69" t="s">
        <v>868</v>
      </c>
      <c r="Z120" s="40">
        <f>IF(AQ120="5",BJ120,0)</f>
        <v>0</v>
      </c>
      <c r="AB120" s="40">
        <f>IF(AQ120="1",BH120,0)</f>
        <v>0</v>
      </c>
      <c r="AC120" s="40">
        <f>IF(AQ120="1",BI120,0)</f>
        <v>0</v>
      </c>
      <c r="AD120" s="40">
        <f>IF(AQ120="7",BH120,0)</f>
        <v>0</v>
      </c>
      <c r="AE120" s="40">
        <f>IF(AQ120="7",BI120,0)</f>
        <v>0</v>
      </c>
      <c r="AF120" s="40">
        <f>IF(AQ120="2",BH120,0)</f>
        <v>0</v>
      </c>
      <c r="AG120" s="40">
        <f>IF(AQ120="2",BI120,0)</f>
        <v>0</v>
      </c>
      <c r="AH120" s="40">
        <f>IF(AQ120="0",BJ120,0)</f>
        <v>0</v>
      </c>
      <c r="AI120" s="11" t="s">
        <v>110</v>
      </c>
      <c r="AJ120" s="40">
        <f>IF(AN120=0,L120,0)</f>
        <v>0</v>
      </c>
      <c r="AK120" s="40">
        <f>IF(AN120=15,L120,0)</f>
        <v>0</v>
      </c>
      <c r="AL120" s="40">
        <f>IF(AN120=21,L120,0)</f>
        <v>0</v>
      </c>
      <c r="AN120" s="40">
        <v>21</v>
      </c>
      <c r="AO120" s="40">
        <f>I120*0</f>
        <v>0</v>
      </c>
      <c r="AP120" s="40">
        <f>I120*(1-0)</f>
        <v>0</v>
      </c>
      <c r="AQ120" s="17" t="s">
        <v>1260</v>
      </c>
      <c r="AV120" s="40">
        <f>AW120+AX120</f>
        <v>0</v>
      </c>
      <c r="AW120" s="40">
        <f>H120*AO120</f>
        <v>0</v>
      </c>
      <c r="AX120" s="40">
        <f>H120*AP120</f>
        <v>0</v>
      </c>
      <c r="AY120" s="17" t="s">
        <v>1175</v>
      </c>
      <c r="AZ120" s="17" t="s">
        <v>550</v>
      </c>
      <c r="BA120" s="11" t="s">
        <v>871</v>
      </c>
      <c r="BC120" s="40">
        <f>AW120+AX120</f>
        <v>0</v>
      </c>
      <c r="BD120" s="40">
        <f>I120/(100-BE120)*100</f>
        <v>0</v>
      </c>
      <c r="BE120" s="40">
        <v>0</v>
      </c>
      <c r="BF120" s="40">
        <f>120</f>
        <v>120</v>
      </c>
      <c r="BH120" s="40">
        <f>H120*AO120</f>
        <v>0</v>
      </c>
      <c r="BI120" s="40">
        <f>H120*AP120</f>
        <v>0</v>
      </c>
      <c r="BJ120" s="40">
        <f>H120*I120</f>
        <v>0</v>
      </c>
      <c r="BK120" s="40"/>
      <c r="BL120" s="40">
        <v>16</v>
      </c>
    </row>
    <row r="121" spans="1:47" ht="15" customHeight="1">
      <c r="A121" s="24" t="s">
        <v>878</v>
      </c>
      <c r="B121" s="66" t="s">
        <v>885</v>
      </c>
      <c r="C121" s="92" t="s">
        <v>179</v>
      </c>
      <c r="D121" s="92"/>
      <c r="E121" s="92"/>
      <c r="F121" s="92"/>
      <c r="G121" s="3" t="s">
        <v>1172</v>
      </c>
      <c r="H121" s="3" t="s">
        <v>1172</v>
      </c>
      <c r="I121" s="3" t="s">
        <v>1172</v>
      </c>
      <c r="J121" s="63">
        <f>SUM(J122:J123)</f>
        <v>0</v>
      </c>
      <c r="K121" s="63">
        <f>SUM(K122:K123)</f>
        <v>0</v>
      </c>
      <c r="L121" s="63">
        <f>SUM(L122:L123)</f>
        <v>0</v>
      </c>
      <c r="M121" s="4" t="s">
        <v>878</v>
      </c>
      <c r="AI121" s="11" t="s">
        <v>110</v>
      </c>
      <c r="AS121" s="63">
        <f>SUM(AJ122:AJ123)</f>
        <v>0</v>
      </c>
      <c r="AT121" s="63">
        <f>SUM(AK122:AK123)</f>
        <v>0</v>
      </c>
      <c r="AU121" s="63">
        <f>SUM(AL122:AL123)</f>
        <v>0</v>
      </c>
    </row>
    <row r="122" spans="1:64" ht="15" customHeight="1">
      <c r="A122" s="19" t="s">
        <v>214</v>
      </c>
      <c r="B122" s="59" t="s">
        <v>1104</v>
      </c>
      <c r="C122" s="76" t="s">
        <v>43</v>
      </c>
      <c r="D122" s="76"/>
      <c r="E122" s="76"/>
      <c r="F122" s="76"/>
      <c r="G122" s="59" t="s">
        <v>1220</v>
      </c>
      <c r="H122" s="40">
        <v>193.41</v>
      </c>
      <c r="I122" s="40">
        <v>0</v>
      </c>
      <c r="J122" s="40">
        <f>H122*AO122</f>
        <v>0</v>
      </c>
      <c r="K122" s="40">
        <f>H122*AP122</f>
        <v>0</v>
      </c>
      <c r="L122" s="40">
        <f>H122*I122</f>
        <v>0</v>
      </c>
      <c r="M122" s="69" t="s">
        <v>868</v>
      </c>
      <c r="Z122" s="40">
        <f>IF(AQ122="5",BJ122,0)</f>
        <v>0</v>
      </c>
      <c r="AB122" s="40">
        <f>IF(AQ122="1",BH122,0)</f>
        <v>0</v>
      </c>
      <c r="AC122" s="40">
        <f>IF(AQ122="1",BI122,0)</f>
        <v>0</v>
      </c>
      <c r="AD122" s="40">
        <f>IF(AQ122="7",BH122,0)</f>
        <v>0</v>
      </c>
      <c r="AE122" s="40">
        <f>IF(AQ122="7",BI122,0)</f>
        <v>0</v>
      </c>
      <c r="AF122" s="40">
        <f>IF(AQ122="2",BH122,0)</f>
        <v>0</v>
      </c>
      <c r="AG122" s="40">
        <f>IF(AQ122="2",BI122,0)</f>
        <v>0</v>
      </c>
      <c r="AH122" s="40">
        <f>IF(AQ122="0",BJ122,0)</f>
        <v>0</v>
      </c>
      <c r="AI122" s="11" t="s">
        <v>110</v>
      </c>
      <c r="AJ122" s="40">
        <f>IF(AN122=0,L122,0)</f>
        <v>0</v>
      </c>
      <c r="AK122" s="40">
        <f>IF(AN122=15,L122,0)</f>
        <v>0</v>
      </c>
      <c r="AL122" s="40">
        <f>IF(AN122=21,L122,0)</f>
        <v>0</v>
      </c>
      <c r="AN122" s="40">
        <v>21</v>
      </c>
      <c r="AO122" s="40">
        <f>I122*0.503380657303976</f>
        <v>0</v>
      </c>
      <c r="AP122" s="40">
        <f>I122*(1-0.503380657303976)</f>
        <v>0</v>
      </c>
      <c r="AQ122" s="17" t="s">
        <v>1260</v>
      </c>
      <c r="AV122" s="40">
        <f>AW122+AX122</f>
        <v>0</v>
      </c>
      <c r="AW122" s="40">
        <f>H122*AO122</f>
        <v>0</v>
      </c>
      <c r="AX122" s="40">
        <f>H122*AP122</f>
        <v>0</v>
      </c>
      <c r="AY122" s="17" t="s">
        <v>251</v>
      </c>
      <c r="AZ122" s="17" t="s">
        <v>550</v>
      </c>
      <c r="BA122" s="11" t="s">
        <v>871</v>
      </c>
      <c r="BC122" s="40">
        <f>AW122+AX122</f>
        <v>0</v>
      </c>
      <c r="BD122" s="40">
        <f>I122/(100-BE122)*100</f>
        <v>0</v>
      </c>
      <c r="BE122" s="40">
        <v>0</v>
      </c>
      <c r="BF122" s="40">
        <f>122</f>
        <v>122</v>
      </c>
      <c r="BH122" s="40">
        <f>H122*AO122</f>
        <v>0</v>
      </c>
      <c r="BI122" s="40">
        <f>H122*AP122</f>
        <v>0</v>
      </c>
      <c r="BJ122" s="40">
        <f>H122*I122</f>
        <v>0</v>
      </c>
      <c r="BK122" s="40"/>
      <c r="BL122" s="40">
        <v>17</v>
      </c>
    </row>
    <row r="123" spans="1:64" ht="15" customHeight="1">
      <c r="A123" s="19" t="s">
        <v>260</v>
      </c>
      <c r="B123" s="59" t="s">
        <v>931</v>
      </c>
      <c r="C123" s="76" t="s">
        <v>652</v>
      </c>
      <c r="D123" s="76"/>
      <c r="E123" s="76"/>
      <c r="F123" s="76"/>
      <c r="G123" s="59" t="s">
        <v>1220</v>
      </c>
      <c r="H123" s="40">
        <v>566.83066</v>
      </c>
      <c r="I123" s="40">
        <v>0</v>
      </c>
      <c r="J123" s="40">
        <f>H123*AO123</f>
        <v>0</v>
      </c>
      <c r="K123" s="40">
        <f>H123*AP123</f>
        <v>0</v>
      </c>
      <c r="L123" s="40">
        <f>H123*I123</f>
        <v>0</v>
      </c>
      <c r="M123" s="69" t="s">
        <v>868</v>
      </c>
      <c r="Z123" s="40">
        <f>IF(AQ123="5",BJ123,0)</f>
        <v>0</v>
      </c>
      <c r="AB123" s="40">
        <f>IF(AQ123="1",BH123,0)</f>
        <v>0</v>
      </c>
      <c r="AC123" s="40">
        <f>IF(AQ123="1",BI123,0)</f>
        <v>0</v>
      </c>
      <c r="AD123" s="40">
        <f>IF(AQ123="7",BH123,0)</f>
        <v>0</v>
      </c>
      <c r="AE123" s="40">
        <f>IF(AQ123="7",BI123,0)</f>
        <v>0</v>
      </c>
      <c r="AF123" s="40">
        <f>IF(AQ123="2",BH123,0)</f>
        <v>0</v>
      </c>
      <c r="AG123" s="40">
        <f>IF(AQ123="2",BI123,0)</f>
        <v>0</v>
      </c>
      <c r="AH123" s="40">
        <f>IF(AQ123="0",BJ123,0)</f>
        <v>0</v>
      </c>
      <c r="AI123" s="11" t="s">
        <v>110</v>
      </c>
      <c r="AJ123" s="40">
        <f>IF(AN123=0,L123,0)</f>
        <v>0</v>
      </c>
      <c r="AK123" s="40">
        <f>IF(AN123=15,L123,0)</f>
        <v>0</v>
      </c>
      <c r="AL123" s="40">
        <f>IF(AN123=21,L123,0)</f>
        <v>0</v>
      </c>
      <c r="AN123" s="40">
        <v>21</v>
      </c>
      <c r="AO123" s="40">
        <f>I123*0</f>
        <v>0</v>
      </c>
      <c r="AP123" s="40">
        <f>I123*(1-0)</f>
        <v>0</v>
      </c>
      <c r="AQ123" s="17" t="s">
        <v>1260</v>
      </c>
      <c r="AV123" s="40">
        <f>AW123+AX123</f>
        <v>0</v>
      </c>
      <c r="AW123" s="40">
        <f>H123*AO123</f>
        <v>0</v>
      </c>
      <c r="AX123" s="40">
        <f>H123*AP123</f>
        <v>0</v>
      </c>
      <c r="AY123" s="17" t="s">
        <v>251</v>
      </c>
      <c r="AZ123" s="17" t="s">
        <v>550</v>
      </c>
      <c r="BA123" s="11" t="s">
        <v>871</v>
      </c>
      <c r="BC123" s="40">
        <f>AW123+AX123</f>
        <v>0</v>
      </c>
      <c r="BD123" s="40">
        <f>I123/(100-BE123)*100</f>
        <v>0</v>
      </c>
      <c r="BE123" s="40">
        <v>0</v>
      </c>
      <c r="BF123" s="40">
        <f>123</f>
        <v>123</v>
      </c>
      <c r="BH123" s="40">
        <f>H123*AO123</f>
        <v>0</v>
      </c>
      <c r="BI123" s="40">
        <f>H123*AP123</f>
        <v>0</v>
      </c>
      <c r="BJ123" s="40">
        <f>H123*I123</f>
        <v>0</v>
      </c>
      <c r="BK123" s="40"/>
      <c r="BL123" s="40">
        <v>17</v>
      </c>
    </row>
    <row r="124" spans="1:47" ht="15" customHeight="1">
      <c r="A124" s="24" t="s">
        <v>878</v>
      </c>
      <c r="B124" s="66" t="s">
        <v>1015</v>
      </c>
      <c r="C124" s="92" t="s">
        <v>1278</v>
      </c>
      <c r="D124" s="92"/>
      <c r="E124" s="92"/>
      <c r="F124" s="92"/>
      <c r="G124" s="3" t="s">
        <v>1172</v>
      </c>
      <c r="H124" s="3" t="s">
        <v>1172</v>
      </c>
      <c r="I124" s="3" t="s">
        <v>1172</v>
      </c>
      <c r="J124" s="63">
        <f>SUM(J125:J126)</f>
        <v>0</v>
      </c>
      <c r="K124" s="63">
        <f>SUM(K125:K126)</f>
        <v>0</v>
      </c>
      <c r="L124" s="63">
        <f>SUM(L125:L126)</f>
        <v>0</v>
      </c>
      <c r="M124" s="4" t="s">
        <v>878</v>
      </c>
      <c r="AI124" s="11" t="s">
        <v>110</v>
      </c>
      <c r="AS124" s="63">
        <f>SUM(AJ125:AJ126)</f>
        <v>0</v>
      </c>
      <c r="AT124" s="63">
        <f>SUM(AK125:AK126)</f>
        <v>0</v>
      </c>
      <c r="AU124" s="63">
        <f>SUM(AL125:AL126)</f>
        <v>0</v>
      </c>
    </row>
    <row r="125" spans="1:64" ht="15" customHeight="1">
      <c r="A125" s="19" t="s">
        <v>1007</v>
      </c>
      <c r="B125" s="59" t="s">
        <v>665</v>
      </c>
      <c r="C125" s="76" t="s">
        <v>1012</v>
      </c>
      <c r="D125" s="76"/>
      <c r="E125" s="76"/>
      <c r="F125" s="76"/>
      <c r="G125" s="59" t="s">
        <v>1243</v>
      </c>
      <c r="H125" s="40">
        <v>260</v>
      </c>
      <c r="I125" s="40">
        <v>0</v>
      </c>
      <c r="J125" s="40">
        <f>H125*AO125</f>
        <v>0</v>
      </c>
      <c r="K125" s="40">
        <f>H125*AP125</f>
        <v>0</v>
      </c>
      <c r="L125" s="40">
        <f>H125*I125</f>
        <v>0</v>
      </c>
      <c r="M125" s="69" t="s">
        <v>868</v>
      </c>
      <c r="Z125" s="40">
        <f>IF(AQ125="5",BJ125,0)</f>
        <v>0</v>
      </c>
      <c r="AB125" s="40">
        <f>IF(AQ125="1",BH125,0)</f>
        <v>0</v>
      </c>
      <c r="AC125" s="40">
        <f>IF(AQ125="1",BI125,0)</f>
        <v>0</v>
      </c>
      <c r="AD125" s="40">
        <f>IF(AQ125="7",BH125,0)</f>
        <v>0</v>
      </c>
      <c r="AE125" s="40">
        <f>IF(AQ125="7",BI125,0)</f>
        <v>0</v>
      </c>
      <c r="AF125" s="40">
        <f>IF(AQ125="2",BH125,0)</f>
        <v>0</v>
      </c>
      <c r="AG125" s="40">
        <f>IF(AQ125="2",BI125,0)</f>
        <v>0</v>
      </c>
      <c r="AH125" s="40">
        <f>IF(AQ125="0",BJ125,0)</f>
        <v>0</v>
      </c>
      <c r="AI125" s="11" t="s">
        <v>110</v>
      </c>
      <c r="AJ125" s="40">
        <f>IF(AN125=0,L125,0)</f>
        <v>0</v>
      </c>
      <c r="AK125" s="40">
        <f>IF(AN125=15,L125,0)</f>
        <v>0</v>
      </c>
      <c r="AL125" s="40">
        <f>IF(AN125=21,L125,0)</f>
        <v>0</v>
      </c>
      <c r="AN125" s="40">
        <v>21</v>
      </c>
      <c r="AO125" s="40">
        <f>I125*0.0401051939513478</f>
        <v>0</v>
      </c>
      <c r="AP125" s="40">
        <f>I125*(1-0.0401051939513478)</f>
        <v>0</v>
      </c>
      <c r="AQ125" s="17" t="s">
        <v>1260</v>
      </c>
      <c r="AV125" s="40">
        <f>AW125+AX125</f>
        <v>0</v>
      </c>
      <c r="AW125" s="40">
        <f>H125*AO125</f>
        <v>0</v>
      </c>
      <c r="AX125" s="40">
        <f>H125*AP125</f>
        <v>0</v>
      </c>
      <c r="AY125" s="17" t="s">
        <v>614</v>
      </c>
      <c r="AZ125" s="17" t="s">
        <v>550</v>
      </c>
      <c r="BA125" s="11" t="s">
        <v>871</v>
      </c>
      <c r="BC125" s="40">
        <f>AW125+AX125</f>
        <v>0</v>
      </c>
      <c r="BD125" s="40">
        <f>I125/(100-BE125)*100</f>
        <v>0</v>
      </c>
      <c r="BE125" s="40">
        <v>0</v>
      </c>
      <c r="BF125" s="40">
        <f>125</f>
        <v>125</v>
      </c>
      <c r="BH125" s="40">
        <f>H125*AO125</f>
        <v>0</v>
      </c>
      <c r="BI125" s="40">
        <f>H125*AP125</f>
        <v>0</v>
      </c>
      <c r="BJ125" s="40">
        <f>H125*I125</f>
        <v>0</v>
      </c>
      <c r="BK125" s="40"/>
      <c r="BL125" s="40">
        <v>18</v>
      </c>
    </row>
    <row r="126" spans="1:64" ht="15" customHeight="1">
      <c r="A126" s="19" t="s">
        <v>122</v>
      </c>
      <c r="B126" s="59" t="s">
        <v>1286</v>
      </c>
      <c r="C126" s="76" t="s">
        <v>1356</v>
      </c>
      <c r="D126" s="76"/>
      <c r="E126" s="76"/>
      <c r="F126" s="76"/>
      <c r="G126" s="59" t="s">
        <v>1197</v>
      </c>
      <c r="H126" s="40">
        <v>5.2</v>
      </c>
      <c r="I126" s="40">
        <v>0</v>
      </c>
      <c r="J126" s="40">
        <f>H126*AO126</f>
        <v>0</v>
      </c>
      <c r="K126" s="40">
        <f>H126*AP126</f>
        <v>0</v>
      </c>
      <c r="L126" s="40">
        <f>H126*I126</f>
        <v>0</v>
      </c>
      <c r="M126" s="69" t="s">
        <v>868</v>
      </c>
      <c r="Z126" s="40">
        <f>IF(AQ126="5",BJ126,0)</f>
        <v>0</v>
      </c>
      <c r="AB126" s="40">
        <f>IF(AQ126="1",BH126,0)</f>
        <v>0</v>
      </c>
      <c r="AC126" s="40">
        <f>IF(AQ126="1",BI126,0)</f>
        <v>0</v>
      </c>
      <c r="AD126" s="40">
        <f>IF(AQ126="7",BH126,0)</f>
        <v>0</v>
      </c>
      <c r="AE126" s="40">
        <f>IF(AQ126="7",BI126,0)</f>
        <v>0</v>
      </c>
      <c r="AF126" s="40">
        <f>IF(AQ126="2",BH126,0)</f>
        <v>0</v>
      </c>
      <c r="AG126" s="40">
        <f>IF(AQ126="2",BI126,0)</f>
        <v>0</v>
      </c>
      <c r="AH126" s="40">
        <f>IF(AQ126="0",BJ126,0)</f>
        <v>0</v>
      </c>
      <c r="AI126" s="11" t="s">
        <v>110</v>
      </c>
      <c r="AJ126" s="40">
        <f>IF(AN126=0,L126,0)</f>
        <v>0</v>
      </c>
      <c r="AK126" s="40">
        <f>IF(AN126=15,L126,0)</f>
        <v>0</v>
      </c>
      <c r="AL126" s="40">
        <f>IF(AN126=21,L126,0)</f>
        <v>0</v>
      </c>
      <c r="AN126" s="40">
        <v>21</v>
      </c>
      <c r="AO126" s="40">
        <f>I126*1</f>
        <v>0</v>
      </c>
      <c r="AP126" s="40">
        <f>I126*(1-1)</f>
        <v>0</v>
      </c>
      <c r="AQ126" s="17" t="s">
        <v>1260</v>
      </c>
      <c r="AV126" s="40">
        <f>AW126+AX126</f>
        <v>0</v>
      </c>
      <c r="AW126" s="40">
        <f>H126*AO126</f>
        <v>0</v>
      </c>
      <c r="AX126" s="40">
        <f>H126*AP126</f>
        <v>0</v>
      </c>
      <c r="AY126" s="17" t="s">
        <v>614</v>
      </c>
      <c r="AZ126" s="17" t="s">
        <v>550</v>
      </c>
      <c r="BA126" s="11" t="s">
        <v>871</v>
      </c>
      <c r="BC126" s="40">
        <f>AW126+AX126</f>
        <v>0</v>
      </c>
      <c r="BD126" s="40">
        <f>I126/(100-BE126)*100</f>
        <v>0</v>
      </c>
      <c r="BE126" s="40">
        <v>0</v>
      </c>
      <c r="BF126" s="40">
        <f>126</f>
        <v>126</v>
      </c>
      <c r="BH126" s="40">
        <f>H126*AO126</f>
        <v>0</v>
      </c>
      <c r="BI126" s="40">
        <f>H126*AP126</f>
        <v>0</v>
      </c>
      <c r="BJ126" s="40">
        <f>H126*I126</f>
        <v>0</v>
      </c>
      <c r="BK126" s="40"/>
      <c r="BL126" s="40">
        <v>18</v>
      </c>
    </row>
    <row r="127" spans="1:47" ht="15" customHeight="1">
      <c r="A127" s="24" t="s">
        <v>878</v>
      </c>
      <c r="B127" s="66" t="s">
        <v>807</v>
      </c>
      <c r="C127" s="92" t="s">
        <v>428</v>
      </c>
      <c r="D127" s="92"/>
      <c r="E127" s="92"/>
      <c r="F127" s="92"/>
      <c r="G127" s="3" t="s">
        <v>1172</v>
      </c>
      <c r="H127" s="3" t="s">
        <v>1172</v>
      </c>
      <c r="I127" s="3" t="s">
        <v>1172</v>
      </c>
      <c r="J127" s="63">
        <f>SUM(J128:J128)</f>
        <v>0</v>
      </c>
      <c r="K127" s="63">
        <f>SUM(K128:K128)</f>
        <v>0</v>
      </c>
      <c r="L127" s="63">
        <f>SUM(L128:L128)</f>
        <v>0</v>
      </c>
      <c r="M127" s="4" t="s">
        <v>878</v>
      </c>
      <c r="AI127" s="11" t="s">
        <v>110</v>
      </c>
      <c r="AS127" s="63">
        <f>SUM(AJ128:AJ128)</f>
        <v>0</v>
      </c>
      <c r="AT127" s="63">
        <f>SUM(AK128:AK128)</f>
        <v>0</v>
      </c>
      <c r="AU127" s="63">
        <f>SUM(AL128:AL128)</f>
        <v>0</v>
      </c>
    </row>
    <row r="128" spans="1:64" ht="15" customHeight="1">
      <c r="A128" s="19" t="s">
        <v>995</v>
      </c>
      <c r="B128" s="59" t="s">
        <v>866</v>
      </c>
      <c r="C128" s="76" t="s">
        <v>1217</v>
      </c>
      <c r="D128" s="76"/>
      <c r="E128" s="76"/>
      <c r="F128" s="76"/>
      <c r="G128" s="59" t="s">
        <v>1220</v>
      </c>
      <c r="H128" s="40">
        <v>169.47</v>
      </c>
      <c r="I128" s="40">
        <v>0</v>
      </c>
      <c r="J128" s="40">
        <f>H128*AO128</f>
        <v>0</v>
      </c>
      <c r="K128" s="40">
        <f>H128*AP128</f>
        <v>0</v>
      </c>
      <c r="L128" s="40">
        <f>H128*I128</f>
        <v>0</v>
      </c>
      <c r="M128" s="69" t="s">
        <v>868</v>
      </c>
      <c r="Z128" s="40">
        <f>IF(AQ128="5",BJ128,0)</f>
        <v>0</v>
      </c>
      <c r="AB128" s="40">
        <f>IF(AQ128="1",BH128,0)</f>
        <v>0</v>
      </c>
      <c r="AC128" s="40">
        <f>IF(AQ128="1",BI128,0)</f>
        <v>0</v>
      </c>
      <c r="AD128" s="40">
        <f>IF(AQ128="7",BH128,0)</f>
        <v>0</v>
      </c>
      <c r="AE128" s="40">
        <f>IF(AQ128="7",BI128,0)</f>
        <v>0</v>
      </c>
      <c r="AF128" s="40">
        <f>IF(AQ128="2",BH128,0)</f>
        <v>0</v>
      </c>
      <c r="AG128" s="40">
        <f>IF(AQ128="2",BI128,0)</f>
        <v>0</v>
      </c>
      <c r="AH128" s="40">
        <f>IF(AQ128="0",BJ128,0)</f>
        <v>0</v>
      </c>
      <c r="AI128" s="11" t="s">
        <v>110</v>
      </c>
      <c r="AJ128" s="40">
        <f>IF(AN128=0,L128,0)</f>
        <v>0</v>
      </c>
      <c r="AK128" s="40">
        <f>IF(AN128=15,L128,0)</f>
        <v>0</v>
      </c>
      <c r="AL128" s="40">
        <f>IF(AN128=21,L128,0)</f>
        <v>0</v>
      </c>
      <c r="AN128" s="40">
        <v>21</v>
      </c>
      <c r="AO128" s="40">
        <f>I128*0</f>
        <v>0</v>
      </c>
      <c r="AP128" s="40">
        <f>I128*(1-0)</f>
        <v>0</v>
      </c>
      <c r="AQ128" s="17" t="s">
        <v>1260</v>
      </c>
      <c r="AV128" s="40">
        <f>AW128+AX128</f>
        <v>0</v>
      </c>
      <c r="AW128" s="40">
        <f>H128*AO128</f>
        <v>0</v>
      </c>
      <c r="AX128" s="40">
        <f>H128*AP128</f>
        <v>0</v>
      </c>
      <c r="AY128" s="17" t="s">
        <v>999</v>
      </c>
      <c r="AZ128" s="17" t="s">
        <v>550</v>
      </c>
      <c r="BA128" s="11" t="s">
        <v>871</v>
      </c>
      <c r="BC128" s="40">
        <f>AW128+AX128</f>
        <v>0</v>
      </c>
      <c r="BD128" s="40">
        <f>I128/(100-BE128)*100</f>
        <v>0</v>
      </c>
      <c r="BE128" s="40">
        <v>0</v>
      </c>
      <c r="BF128" s="40">
        <f>128</f>
        <v>128</v>
      </c>
      <c r="BH128" s="40">
        <f>H128*AO128</f>
        <v>0</v>
      </c>
      <c r="BI128" s="40">
        <f>H128*AP128</f>
        <v>0</v>
      </c>
      <c r="BJ128" s="40">
        <f>H128*I128</f>
        <v>0</v>
      </c>
      <c r="BK128" s="40"/>
      <c r="BL128" s="40">
        <v>19</v>
      </c>
    </row>
    <row r="129" spans="1:47" ht="15" customHeight="1">
      <c r="A129" s="24" t="s">
        <v>878</v>
      </c>
      <c r="B129" s="66" t="s">
        <v>432</v>
      </c>
      <c r="C129" s="92" t="s">
        <v>991</v>
      </c>
      <c r="D129" s="92"/>
      <c r="E129" s="92"/>
      <c r="F129" s="92"/>
      <c r="G129" s="3" t="s">
        <v>1172</v>
      </c>
      <c r="H129" s="3" t="s">
        <v>1172</v>
      </c>
      <c r="I129" s="3" t="s">
        <v>1172</v>
      </c>
      <c r="J129" s="63">
        <f>SUM(J130:J131)</f>
        <v>0</v>
      </c>
      <c r="K129" s="63">
        <f>SUM(K130:K131)</f>
        <v>0</v>
      </c>
      <c r="L129" s="63">
        <f>SUM(L130:L131)</f>
        <v>0</v>
      </c>
      <c r="M129" s="4" t="s">
        <v>878</v>
      </c>
      <c r="AI129" s="11" t="s">
        <v>110</v>
      </c>
      <c r="AS129" s="63">
        <f>SUM(AJ130:AJ131)</f>
        <v>0</v>
      </c>
      <c r="AT129" s="63">
        <f>SUM(AK130:AK131)</f>
        <v>0</v>
      </c>
      <c r="AU129" s="63">
        <f>SUM(AL130:AL131)</f>
        <v>0</v>
      </c>
    </row>
    <row r="130" spans="1:64" ht="15" customHeight="1">
      <c r="A130" s="19" t="s">
        <v>783</v>
      </c>
      <c r="B130" s="59" t="s">
        <v>898</v>
      </c>
      <c r="C130" s="76" t="s">
        <v>370</v>
      </c>
      <c r="D130" s="76"/>
      <c r="E130" s="76"/>
      <c r="F130" s="76"/>
      <c r="G130" s="59" t="s">
        <v>1220</v>
      </c>
      <c r="H130" s="40">
        <v>64.47</v>
      </c>
      <c r="I130" s="40">
        <v>0</v>
      </c>
      <c r="J130" s="40">
        <f>H130*AO130</f>
        <v>0</v>
      </c>
      <c r="K130" s="40">
        <f>H130*AP130</f>
        <v>0</v>
      </c>
      <c r="L130" s="40">
        <f>H130*I130</f>
        <v>0</v>
      </c>
      <c r="M130" s="69" t="s">
        <v>868</v>
      </c>
      <c r="Z130" s="40">
        <f>IF(AQ130="5",BJ130,0)</f>
        <v>0</v>
      </c>
      <c r="AB130" s="40">
        <f>IF(AQ130="1",BH130,0)</f>
        <v>0</v>
      </c>
      <c r="AC130" s="40">
        <f>IF(AQ130="1",BI130,0)</f>
        <v>0</v>
      </c>
      <c r="AD130" s="40">
        <f>IF(AQ130="7",BH130,0)</f>
        <v>0</v>
      </c>
      <c r="AE130" s="40">
        <f>IF(AQ130="7",BI130,0)</f>
        <v>0</v>
      </c>
      <c r="AF130" s="40">
        <f>IF(AQ130="2",BH130,0)</f>
        <v>0</v>
      </c>
      <c r="AG130" s="40">
        <f>IF(AQ130="2",BI130,0)</f>
        <v>0</v>
      </c>
      <c r="AH130" s="40">
        <f>IF(AQ130="0",BJ130,0)</f>
        <v>0</v>
      </c>
      <c r="AI130" s="11" t="s">
        <v>110</v>
      </c>
      <c r="AJ130" s="40">
        <f>IF(AN130=0,L130,0)</f>
        <v>0</v>
      </c>
      <c r="AK130" s="40">
        <f>IF(AN130=15,L130,0)</f>
        <v>0</v>
      </c>
      <c r="AL130" s="40">
        <f>IF(AN130=21,L130,0)</f>
        <v>0</v>
      </c>
      <c r="AN130" s="40">
        <v>21</v>
      </c>
      <c r="AO130" s="40">
        <f>I130*0.480904558404558</f>
        <v>0</v>
      </c>
      <c r="AP130" s="40">
        <f>I130*(1-0.480904558404558)</f>
        <v>0</v>
      </c>
      <c r="AQ130" s="17" t="s">
        <v>1260</v>
      </c>
      <c r="AV130" s="40">
        <f>AW130+AX130</f>
        <v>0</v>
      </c>
      <c r="AW130" s="40">
        <f>H130*AO130</f>
        <v>0</v>
      </c>
      <c r="AX130" s="40">
        <f>H130*AP130</f>
        <v>0</v>
      </c>
      <c r="AY130" s="17" t="s">
        <v>604</v>
      </c>
      <c r="AZ130" s="17" t="s">
        <v>1326</v>
      </c>
      <c r="BA130" s="11" t="s">
        <v>871</v>
      </c>
      <c r="BC130" s="40">
        <f>AW130+AX130</f>
        <v>0</v>
      </c>
      <c r="BD130" s="40">
        <f>I130/(100-BE130)*100</f>
        <v>0</v>
      </c>
      <c r="BE130" s="40">
        <v>0</v>
      </c>
      <c r="BF130" s="40">
        <f>130</f>
        <v>130</v>
      </c>
      <c r="BH130" s="40">
        <f>H130*AO130</f>
        <v>0</v>
      </c>
      <c r="BI130" s="40">
        <f>H130*AP130</f>
        <v>0</v>
      </c>
      <c r="BJ130" s="40">
        <f>H130*I130</f>
        <v>0</v>
      </c>
      <c r="BK130" s="40"/>
      <c r="BL130" s="40">
        <v>45</v>
      </c>
    </row>
    <row r="131" spans="1:64" ht="15" customHeight="1">
      <c r="A131" s="19" t="s">
        <v>1274</v>
      </c>
      <c r="B131" s="59" t="s">
        <v>1017</v>
      </c>
      <c r="C131" s="76" t="s">
        <v>1367</v>
      </c>
      <c r="D131" s="76"/>
      <c r="E131" s="76"/>
      <c r="F131" s="76"/>
      <c r="G131" s="59" t="s">
        <v>1220</v>
      </c>
      <c r="H131" s="40">
        <v>3.6</v>
      </c>
      <c r="I131" s="40">
        <v>0</v>
      </c>
      <c r="J131" s="40">
        <f>H131*AO131</f>
        <v>0</v>
      </c>
      <c r="K131" s="40">
        <f>H131*AP131</f>
        <v>0</v>
      </c>
      <c r="L131" s="40">
        <f>H131*I131</f>
        <v>0</v>
      </c>
      <c r="M131" s="69" t="s">
        <v>868</v>
      </c>
      <c r="Z131" s="40">
        <f>IF(AQ131="5",BJ131,0)</f>
        <v>0</v>
      </c>
      <c r="AB131" s="40">
        <f>IF(AQ131="1",BH131,0)</f>
        <v>0</v>
      </c>
      <c r="AC131" s="40">
        <f>IF(AQ131="1",BI131,0)</f>
        <v>0</v>
      </c>
      <c r="AD131" s="40">
        <f>IF(AQ131="7",BH131,0)</f>
        <v>0</v>
      </c>
      <c r="AE131" s="40">
        <f>IF(AQ131="7",BI131,0)</f>
        <v>0</v>
      </c>
      <c r="AF131" s="40">
        <f>IF(AQ131="2",BH131,0)</f>
        <v>0</v>
      </c>
      <c r="AG131" s="40">
        <f>IF(AQ131="2",BI131,0)</f>
        <v>0</v>
      </c>
      <c r="AH131" s="40">
        <f>IF(AQ131="0",BJ131,0)</f>
        <v>0</v>
      </c>
      <c r="AI131" s="11" t="s">
        <v>110</v>
      </c>
      <c r="AJ131" s="40">
        <f>IF(AN131=0,L131,0)</f>
        <v>0</v>
      </c>
      <c r="AK131" s="40">
        <f>IF(AN131=15,L131,0)</f>
        <v>0</v>
      </c>
      <c r="AL131" s="40">
        <f>IF(AN131=21,L131,0)</f>
        <v>0</v>
      </c>
      <c r="AN131" s="40">
        <v>21</v>
      </c>
      <c r="AO131" s="40">
        <f>I131*0.786681350954479</f>
        <v>0</v>
      </c>
      <c r="AP131" s="40">
        <f>I131*(1-0.786681350954479)</f>
        <v>0</v>
      </c>
      <c r="AQ131" s="17" t="s">
        <v>1260</v>
      </c>
      <c r="AV131" s="40">
        <f>AW131+AX131</f>
        <v>0</v>
      </c>
      <c r="AW131" s="40">
        <f>H131*AO131</f>
        <v>0</v>
      </c>
      <c r="AX131" s="40">
        <f>H131*AP131</f>
        <v>0</v>
      </c>
      <c r="AY131" s="17" t="s">
        <v>604</v>
      </c>
      <c r="AZ131" s="17" t="s">
        <v>1326</v>
      </c>
      <c r="BA131" s="11" t="s">
        <v>871</v>
      </c>
      <c r="BC131" s="40">
        <f>AW131+AX131</f>
        <v>0</v>
      </c>
      <c r="BD131" s="40">
        <f>I131/(100-BE131)*100</f>
        <v>0</v>
      </c>
      <c r="BE131" s="40">
        <v>0</v>
      </c>
      <c r="BF131" s="40">
        <f>131</f>
        <v>131</v>
      </c>
      <c r="BH131" s="40">
        <f>H131*AO131</f>
        <v>0</v>
      </c>
      <c r="BI131" s="40">
        <f>H131*AP131</f>
        <v>0</v>
      </c>
      <c r="BJ131" s="40">
        <f>H131*I131</f>
        <v>0</v>
      </c>
      <c r="BK131" s="40"/>
      <c r="BL131" s="40">
        <v>45</v>
      </c>
    </row>
    <row r="132" spans="1:47" ht="15" customHeight="1">
      <c r="A132" s="24" t="s">
        <v>878</v>
      </c>
      <c r="B132" s="66" t="s">
        <v>558</v>
      </c>
      <c r="C132" s="92" t="s">
        <v>1193</v>
      </c>
      <c r="D132" s="92"/>
      <c r="E132" s="92"/>
      <c r="F132" s="92"/>
      <c r="G132" s="3" t="s">
        <v>1172</v>
      </c>
      <c r="H132" s="3" t="s">
        <v>1172</v>
      </c>
      <c r="I132" s="3" t="s">
        <v>1172</v>
      </c>
      <c r="J132" s="63">
        <f>SUM(J133:J138)</f>
        <v>0</v>
      </c>
      <c r="K132" s="63">
        <f>SUM(K133:K138)</f>
        <v>0</v>
      </c>
      <c r="L132" s="63">
        <f>SUM(L133:L138)</f>
        <v>0</v>
      </c>
      <c r="M132" s="4" t="s">
        <v>878</v>
      </c>
      <c r="AI132" s="11" t="s">
        <v>110</v>
      </c>
      <c r="AS132" s="63">
        <f>SUM(AJ133:AJ138)</f>
        <v>0</v>
      </c>
      <c r="AT132" s="63">
        <f>SUM(AK133:AK138)</f>
        <v>0</v>
      </c>
      <c r="AU132" s="63">
        <f>SUM(AL133:AL138)</f>
        <v>0</v>
      </c>
    </row>
    <row r="133" spans="1:64" ht="15" customHeight="1">
      <c r="A133" s="19" t="s">
        <v>1166</v>
      </c>
      <c r="B133" s="59" t="s">
        <v>679</v>
      </c>
      <c r="C133" s="76" t="s">
        <v>669</v>
      </c>
      <c r="D133" s="76"/>
      <c r="E133" s="76"/>
      <c r="F133" s="76"/>
      <c r="G133" s="59" t="s">
        <v>1243</v>
      </c>
      <c r="H133" s="40">
        <v>1</v>
      </c>
      <c r="I133" s="40">
        <v>0</v>
      </c>
      <c r="J133" s="40">
        <f aca="true" t="shared" si="22" ref="J133:J138">H133*AO133</f>
        <v>0</v>
      </c>
      <c r="K133" s="40">
        <f aca="true" t="shared" si="23" ref="K133:K138">H133*AP133</f>
        <v>0</v>
      </c>
      <c r="L133" s="40">
        <f aca="true" t="shared" si="24" ref="L133:L138">H133*I133</f>
        <v>0</v>
      </c>
      <c r="M133" s="69" t="s">
        <v>868</v>
      </c>
      <c r="Z133" s="40">
        <f aca="true" t="shared" si="25" ref="Z133:Z138">IF(AQ133="5",BJ133,0)</f>
        <v>0</v>
      </c>
      <c r="AB133" s="40">
        <f aca="true" t="shared" si="26" ref="AB133:AB138">IF(AQ133="1",BH133,0)</f>
        <v>0</v>
      </c>
      <c r="AC133" s="40">
        <f aca="true" t="shared" si="27" ref="AC133:AC138">IF(AQ133="1",BI133,0)</f>
        <v>0</v>
      </c>
      <c r="AD133" s="40">
        <f aca="true" t="shared" si="28" ref="AD133:AD138">IF(AQ133="7",BH133,0)</f>
        <v>0</v>
      </c>
      <c r="AE133" s="40">
        <f aca="true" t="shared" si="29" ref="AE133:AE138">IF(AQ133="7",BI133,0)</f>
        <v>0</v>
      </c>
      <c r="AF133" s="40">
        <f aca="true" t="shared" si="30" ref="AF133:AF138">IF(AQ133="2",BH133,0)</f>
        <v>0</v>
      </c>
      <c r="AG133" s="40">
        <f aca="true" t="shared" si="31" ref="AG133:AG138">IF(AQ133="2",BI133,0)</f>
        <v>0</v>
      </c>
      <c r="AH133" s="40">
        <f aca="true" t="shared" si="32" ref="AH133:AH138">IF(AQ133="0",BJ133,0)</f>
        <v>0</v>
      </c>
      <c r="AI133" s="11" t="s">
        <v>110</v>
      </c>
      <c r="AJ133" s="40">
        <f aca="true" t="shared" si="33" ref="AJ133:AJ138">IF(AN133=0,L133,0)</f>
        <v>0</v>
      </c>
      <c r="AK133" s="40">
        <f aca="true" t="shared" si="34" ref="AK133:AK138">IF(AN133=15,L133,0)</f>
        <v>0</v>
      </c>
      <c r="AL133" s="40">
        <f aca="true" t="shared" si="35" ref="AL133:AL138">IF(AN133=21,L133,0)</f>
        <v>0</v>
      </c>
      <c r="AN133" s="40">
        <v>21</v>
      </c>
      <c r="AO133" s="40">
        <f>I133*0.437237903225806</f>
        <v>0</v>
      </c>
      <c r="AP133" s="40">
        <f>I133*(1-0.437237903225806)</f>
        <v>0</v>
      </c>
      <c r="AQ133" s="17" t="s">
        <v>1260</v>
      </c>
      <c r="AV133" s="40">
        <f aca="true" t="shared" si="36" ref="AV133:AV138">AW133+AX133</f>
        <v>0</v>
      </c>
      <c r="AW133" s="40">
        <f aca="true" t="shared" si="37" ref="AW133:AW138">H133*AO133</f>
        <v>0</v>
      </c>
      <c r="AX133" s="40">
        <f aca="true" t="shared" si="38" ref="AX133:AX138">H133*AP133</f>
        <v>0</v>
      </c>
      <c r="AY133" s="17" t="s">
        <v>1246</v>
      </c>
      <c r="AZ133" s="17" t="s">
        <v>1207</v>
      </c>
      <c r="BA133" s="11" t="s">
        <v>871</v>
      </c>
      <c r="BC133" s="40">
        <f aca="true" t="shared" si="39" ref="BC133:BC138">AW133+AX133</f>
        <v>0</v>
      </c>
      <c r="BD133" s="40">
        <f aca="true" t="shared" si="40" ref="BD133:BD138">I133/(100-BE133)*100</f>
        <v>0</v>
      </c>
      <c r="BE133" s="40">
        <v>0</v>
      </c>
      <c r="BF133" s="40">
        <f>133</f>
        <v>133</v>
      </c>
      <c r="BH133" s="40">
        <f aca="true" t="shared" si="41" ref="BH133:BH138">H133*AO133</f>
        <v>0</v>
      </c>
      <c r="BI133" s="40">
        <f aca="true" t="shared" si="42" ref="BI133:BI138">H133*AP133</f>
        <v>0</v>
      </c>
      <c r="BJ133" s="40">
        <f aca="true" t="shared" si="43" ref="BJ133:BJ138">H133*I133</f>
        <v>0</v>
      </c>
      <c r="BK133" s="40"/>
      <c r="BL133" s="40">
        <v>59</v>
      </c>
    </row>
    <row r="134" spans="1:64" ht="15" customHeight="1">
      <c r="A134" s="19" t="s">
        <v>847</v>
      </c>
      <c r="B134" s="59" t="s">
        <v>554</v>
      </c>
      <c r="C134" s="76" t="s">
        <v>1319</v>
      </c>
      <c r="D134" s="76"/>
      <c r="E134" s="76"/>
      <c r="F134" s="76"/>
      <c r="G134" s="59" t="s">
        <v>565</v>
      </c>
      <c r="H134" s="40">
        <v>0.5</v>
      </c>
      <c r="I134" s="40">
        <v>0</v>
      </c>
      <c r="J134" s="40">
        <f t="shared" si="22"/>
        <v>0</v>
      </c>
      <c r="K134" s="40">
        <f t="shared" si="23"/>
        <v>0</v>
      </c>
      <c r="L134" s="40">
        <f t="shared" si="24"/>
        <v>0</v>
      </c>
      <c r="M134" s="69" t="s">
        <v>868</v>
      </c>
      <c r="Z134" s="40">
        <f t="shared" si="25"/>
        <v>0</v>
      </c>
      <c r="AB134" s="40">
        <f t="shared" si="26"/>
        <v>0</v>
      </c>
      <c r="AC134" s="40">
        <f t="shared" si="27"/>
        <v>0</v>
      </c>
      <c r="AD134" s="40">
        <f t="shared" si="28"/>
        <v>0</v>
      </c>
      <c r="AE134" s="40">
        <f t="shared" si="29"/>
        <v>0</v>
      </c>
      <c r="AF134" s="40">
        <f t="shared" si="30"/>
        <v>0</v>
      </c>
      <c r="AG134" s="40">
        <f t="shared" si="31"/>
        <v>0</v>
      </c>
      <c r="AH134" s="40">
        <f t="shared" si="32"/>
        <v>0</v>
      </c>
      <c r="AI134" s="11" t="s">
        <v>110</v>
      </c>
      <c r="AJ134" s="40">
        <f t="shared" si="33"/>
        <v>0</v>
      </c>
      <c r="AK134" s="40">
        <f t="shared" si="34"/>
        <v>0</v>
      </c>
      <c r="AL134" s="40">
        <f t="shared" si="35"/>
        <v>0</v>
      </c>
      <c r="AN134" s="40">
        <v>21</v>
      </c>
      <c r="AO134" s="40">
        <f>I134*1</f>
        <v>0</v>
      </c>
      <c r="AP134" s="40">
        <f>I134*(1-1)</f>
        <v>0</v>
      </c>
      <c r="AQ134" s="17" t="s">
        <v>1260</v>
      </c>
      <c r="AV134" s="40">
        <f t="shared" si="36"/>
        <v>0</v>
      </c>
      <c r="AW134" s="40">
        <f t="shared" si="37"/>
        <v>0</v>
      </c>
      <c r="AX134" s="40">
        <f t="shared" si="38"/>
        <v>0</v>
      </c>
      <c r="AY134" s="17" t="s">
        <v>1246</v>
      </c>
      <c r="AZ134" s="17" t="s">
        <v>1207</v>
      </c>
      <c r="BA134" s="11" t="s">
        <v>871</v>
      </c>
      <c r="BC134" s="40">
        <f t="shared" si="39"/>
        <v>0</v>
      </c>
      <c r="BD134" s="40">
        <f t="shared" si="40"/>
        <v>0</v>
      </c>
      <c r="BE134" s="40">
        <v>0</v>
      </c>
      <c r="BF134" s="40">
        <f>134</f>
        <v>134</v>
      </c>
      <c r="BH134" s="40">
        <f t="shared" si="41"/>
        <v>0</v>
      </c>
      <c r="BI134" s="40">
        <f t="shared" si="42"/>
        <v>0</v>
      </c>
      <c r="BJ134" s="40">
        <f t="shared" si="43"/>
        <v>0</v>
      </c>
      <c r="BK134" s="40"/>
      <c r="BL134" s="40">
        <v>59</v>
      </c>
    </row>
    <row r="135" spans="1:64" ht="15" customHeight="1">
      <c r="A135" s="19" t="s">
        <v>632</v>
      </c>
      <c r="B135" s="59" t="s">
        <v>662</v>
      </c>
      <c r="C135" s="76" t="s">
        <v>1111</v>
      </c>
      <c r="D135" s="76"/>
      <c r="E135" s="76"/>
      <c r="F135" s="76"/>
      <c r="G135" s="59" t="s">
        <v>1041</v>
      </c>
      <c r="H135" s="40">
        <v>29</v>
      </c>
      <c r="I135" s="40">
        <v>0</v>
      </c>
      <c r="J135" s="40">
        <f t="shared" si="22"/>
        <v>0</v>
      </c>
      <c r="K135" s="40">
        <f t="shared" si="23"/>
        <v>0</v>
      </c>
      <c r="L135" s="40">
        <f t="shared" si="24"/>
        <v>0</v>
      </c>
      <c r="M135" s="69" t="s">
        <v>868</v>
      </c>
      <c r="Z135" s="40">
        <f t="shared" si="25"/>
        <v>0</v>
      </c>
      <c r="AB135" s="40">
        <f t="shared" si="26"/>
        <v>0</v>
      </c>
      <c r="AC135" s="40">
        <f t="shared" si="27"/>
        <v>0</v>
      </c>
      <c r="AD135" s="40">
        <f t="shared" si="28"/>
        <v>0</v>
      </c>
      <c r="AE135" s="40">
        <f t="shared" si="29"/>
        <v>0</v>
      </c>
      <c r="AF135" s="40">
        <f t="shared" si="30"/>
        <v>0</v>
      </c>
      <c r="AG135" s="40">
        <f t="shared" si="31"/>
        <v>0</v>
      </c>
      <c r="AH135" s="40">
        <f t="shared" si="32"/>
        <v>0</v>
      </c>
      <c r="AI135" s="11" t="s">
        <v>110</v>
      </c>
      <c r="AJ135" s="40">
        <f t="shared" si="33"/>
        <v>0</v>
      </c>
      <c r="AK135" s="40">
        <f t="shared" si="34"/>
        <v>0</v>
      </c>
      <c r="AL135" s="40">
        <f t="shared" si="35"/>
        <v>0</v>
      </c>
      <c r="AN135" s="40">
        <v>21</v>
      </c>
      <c r="AO135" s="40">
        <f>I135*0.487536</f>
        <v>0</v>
      </c>
      <c r="AP135" s="40">
        <f>I135*(1-0.487536)</f>
        <v>0</v>
      </c>
      <c r="AQ135" s="17" t="s">
        <v>1260</v>
      </c>
      <c r="AV135" s="40">
        <f t="shared" si="36"/>
        <v>0</v>
      </c>
      <c r="AW135" s="40">
        <f t="shared" si="37"/>
        <v>0</v>
      </c>
      <c r="AX135" s="40">
        <f t="shared" si="38"/>
        <v>0</v>
      </c>
      <c r="AY135" s="17" t="s">
        <v>1246</v>
      </c>
      <c r="AZ135" s="17" t="s">
        <v>1207</v>
      </c>
      <c r="BA135" s="11" t="s">
        <v>871</v>
      </c>
      <c r="BC135" s="40">
        <f t="shared" si="39"/>
        <v>0</v>
      </c>
      <c r="BD135" s="40">
        <f t="shared" si="40"/>
        <v>0</v>
      </c>
      <c r="BE135" s="40">
        <v>0</v>
      </c>
      <c r="BF135" s="40">
        <f>135</f>
        <v>135</v>
      </c>
      <c r="BH135" s="40">
        <f t="shared" si="41"/>
        <v>0</v>
      </c>
      <c r="BI135" s="40">
        <f t="shared" si="42"/>
        <v>0</v>
      </c>
      <c r="BJ135" s="40">
        <f t="shared" si="43"/>
        <v>0</v>
      </c>
      <c r="BK135" s="40"/>
      <c r="BL135" s="40">
        <v>59</v>
      </c>
    </row>
    <row r="136" spans="1:64" ht="15" customHeight="1">
      <c r="A136" s="19" t="s">
        <v>279</v>
      </c>
      <c r="B136" s="59" t="s">
        <v>1401</v>
      </c>
      <c r="C136" s="76" t="s">
        <v>575</v>
      </c>
      <c r="D136" s="76"/>
      <c r="E136" s="76"/>
      <c r="F136" s="76"/>
      <c r="G136" s="59" t="s">
        <v>1041</v>
      </c>
      <c r="H136" s="40">
        <v>29</v>
      </c>
      <c r="I136" s="40">
        <v>0</v>
      </c>
      <c r="J136" s="40">
        <f t="shared" si="22"/>
        <v>0</v>
      </c>
      <c r="K136" s="40">
        <f t="shared" si="23"/>
        <v>0</v>
      </c>
      <c r="L136" s="40">
        <f t="shared" si="24"/>
        <v>0</v>
      </c>
      <c r="M136" s="69" t="s">
        <v>868</v>
      </c>
      <c r="Z136" s="40">
        <f t="shared" si="25"/>
        <v>0</v>
      </c>
      <c r="AB136" s="40">
        <f t="shared" si="26"/>
        <v>0</v>
      </c>
      <c r="AC136" s="40">
        <f t="shared" si="27"/>
        <v>0</v>
      </c>
      <c r="AD136" s="40">
        <f t="shared" si="28"/>
        <v>0</v>
      </c>
      <c r="AE136" s="40">
        <f t="shared" si="29"/>
        <v>0</v>
      </c>
      <c r="AF136" s="40">
        <f t="shared" si="30"/>
        <v>0</v>
      </c>
      <c r="AG136" s="40">
        <f t="shared" si="31"/>
        <v>0</v>
      </c>
      <c r="AH136" s="40">
        <f t="shared" si="32"/>
        <v>0</v>
      </c>
      <c r="AI136" s="11" t="s">
        <v>110</v>
      </c>
      <c r="AJ136" s="40">
        <f t="shared" si="33"/>
        <v>0</v>
      </c>
      <c r="AK136" s="40">
        <f t="shared" si="34"/>
        <v>0</v>
      </c>
      <c r="AL136" s="40">
        <f t="shared" si="35"/>
        <v>0</v>
      </c>
      <c r="AN136" s="40">
        <v>21</v>
      </c>
      <c r="AO136" s="40">
        <f>I136*0.924511228957458</f>
        <v>0</v>
      </c>
      <c r="AP136" s="40">
        <f>I136*(1-0.924511228957458)</f>
        <v>0</v>
      </c>
      <c r="AQ136" s="17" t="s">
        <v>1260</v>
      </c>
      <c r="AV136" s="40">
        <f t="shared" si="36"/>
        <v>0</v>
      </c>
      <c r="AW136" s="40">
        <f t="shared" si="37"/>
        <v>0</v>
      </c>
      <c r="AX136" s="40">
        <f t="shared" si="38"/>
        <v>0</v>
      </c>
      <c r="AY136" s="17" t="s">
        <v>1246</v>
      </c>
      <c r="AZ136" s="17" t="s">
        <v>1207</v>
      </c>
      <c r="BA136" s="11" t="s">
        <v>871</v>
      </c>
      <c r="BC136" s="40">
        <f t="shared" si="39"/>
        <v>0</v>
      </c>
      <c r="BD136" s="40">
        <f t="shared" si="40"/>
        <v>0</v>
      </c>
      <c r="BE136" s="40">
        <v>0</v>
      </c>
      <c r="BF136" s="40">
        <f>136</f>
        <v>136</v>
      </c>
      <c r="BH136" s="40">
        <f t="shared" si="41"/>
        <v>0</v>
      </c>
      <c r="BI136" s="40">
        <f t="shared" si="42"/>
        <v>0</v>
      </c>
      <c r="BJ136" s="40">
        <f t="shared" si="43"/>
        <v>0</v>
      </c>
      <c r="BK136" s="40"/>
      <c r="BL136" s="40">
        <v>59</v>
      </c>
    </row>
    <row r="137" spans="1:64" ht="15" customHeight="1">
      <c r="A137" s="19" t="s">
        <v>119</v>
      </c>
      <c r="B137" s="59" t="s">
        <v>855</v>
      </c>
      <c r="C137" s="76" t="s">
        <v>1329</v>
      </c>
      <c r="D137" s="76"/>
      <c r="E137" s="76"/>
      <c r="F137" s="76"/>
      <c r="G137" s="59" t="s">
        <v>312</v>
      </c>
      <c r="H137" s="40">
        <v>7</v>
      </c>
      <c r="I137" s="40">
        <v>0</v>
      </c>
      <c r="J137" s="40">
        <f t="shared" si="22"/>
        <v>0</v>
      </c>
      <c r="K137" s="40">
        <f t="shared" si="23"/>
        <v>0</v>
      </c>
      <c r="L137" s="40">
        <f t="shared" si="24"/>
        <v>0</v>
      </c>
      <c r="M137" s="69" t="s">
        <v>868</v>
      </c>
      <c r="Z137" s="40">
        <f t="shared" si="25"/>
        <v>0</v>
      </c>
      <c r="AB137" s="40">
        <f t="shared" si="26"/>
        <v>0</v>
      </c>
      <c r="AC137" s="40">
        <f t="shared" si="27"/>
        <v>0</v>
      </c>
      <c r="AD137" s="40">
        <f t="shared" si="28"/>
        <v>0</v>
      </c>
      <c r="AE137" s="40">
        <f t="shared" si="29"/>
        <v>0</v>
      </c>
      <c r="AF137" s="40">
        <f t="shared" si="30"/>
        <v>0</v>
      </c>
      <c r="AG137" s="40">
        <f t="shared" si="31"/>
        <v>0</v>
      </c>
      <c r="AH137" s="40">
        <f t="shared" si="32"/>
        <v>0</v>
      </c>
      <c r="AI137" s="11" t="s">
        <v>110</v>
      </c>
      <c r="AJ137" s="40">
        <f t="shared" si="33"/>
        <v>0</v>
      </c>
      <c r="AK137" s="40">
        <f t="shared" si="34"/>
        <v>0</v>
      </c>
      <c r="AL137" s="40">
        <f t="shared" si="35"/>
        <v>0</v>
      </c>
      <c r="AN137" s="40">
        <v>21</v>
      </c>
      <c r="AO137" s="40">
        <f>I137*0.313404255319149</f>
        <v>0</v>
      </c>
      <c r="AP137" s="40">
        <f>I137*(1-0.313404255319149)</f>
        <v>0</v>
      </c>
      <c r="AQ137" s="17" t="s">
        <v>1260</v>
      </c>
      <c r="AV137" s="40">
        <f t="shared" si="36"/>
        <v>0</v>
      </c>
      <c r="AW137" s="40">
        <f t="shared" si="37"/>
        <v>0</v>
      </c>
      <c r="AX137" s="40">
        <f t="shared" si="38"/>
        <v>0</v>
      </c>
      <c r="AY137" s="17" t="s">
        <v>1246</v>
      </c>
      <c r="AZ137" s="17" t="s">
        <v>1207</v>
      </c>
      <c r="BA137" s="11" t="s">
        <v>871</v>
      </c>
      <c r="BC137" s="40">
        <f t="shared" si="39"/>
        <v>0</v>
      </c>
      <c r="BD137" s="40">
        <f t="shared" si="40"/>
        <v>0</v>
      </c>
      <c r="BE137" s="40">
        <v>0</v>
      </c>
      <c r="BF137" s="40">
        <f>137</f>
        <v>137</v>
      </c>
      <c r="BH137" s="40">
        <f t="shared" si="41"/>
        <v>0</v>
      </c>
      <c r="BI137" s="40">
        <f t="shared" si="42"/>
        <v>0</v>
      </c>
      <c r="BJ137" s="40">
        <f t="shared" si="43"/>
        <v>0</v>
      </c>
      <c r="BK137" s="40"/>
      <c r="BL137" s="40">
        <v>59</v>
      </c>
    </row>
    <row r="138" spans="1:64" ht="15" customHeight="1">
      <c r="A138" s="19" t="s">
        <v>1242</v>
      </c>
      <c r="B138" s="59" t="s">
        <v>1</v>
      </c>
      <c r="C138" s="76" t="s">
        <v>479</v>
      </c>
      <c r="D138" s="76"/>
      <c r="E138" s="76"/>
      <c r="F138" s="76"/>
      <c r="G138" s="59" t="s">
        <v>312</v>
      </c>
      <c r="H138" s="40">
        <v>7</v>
      </c>
      <c r="I138" s="40">
        <v>0</v>
      </c>
      <c r="J138" s="40">
        <f t="shared" si="22"/>
        <v>0</v>
      </c>
      <c r="K138" s="40">
        <f t="shared" si="23"/>
        <v>0</v>
      </c>
      <c r="L138" s="40">
        <f t="shared" si="24"/>
        <v>0</v>
      </c>
      <c r="M138" s="69" t="s">
        <v>868</v>
      </c>
      <c r="Z138" s="40">
        <f t="shared" si="25"/>
        <v>0</v>
      </c>
      <c r="AB138" s="40">
        <f t="shared" si="26"/>
        <v>0</v>
      </c>
      <c r="AC138" s="40">
        <f t="shared" si="27"/>
        <v>0</v>
      </c>
      <c r="AD138" s="40">
        <f t="shared" si="28"/>
        <v>0</v>
      </c>
      <c r="AE138" s="40">
        <f t="shared" si="29"/>
        <v>0</v>
      </c>
      <c r="AF138" s="40">
        <f t="shared" si="30"/>
        <v>0</v>
      </c>
      <c r="AG138" s="40">
        <f t="shared" si="31"/>
        <v>0</v>
      </c>
      <c r="AH138" s="40">
        <f t="shared" si="32"/>
        <v>0</v>
      </c>
      <c r="AI138" s="11" t="s">
        <v>110</v>
      </c>
      <c r="AJ138" s="40">
        <f t="shared" si="33"/>
        <v>0</v>
      </c>
      <c r="AK138" s="40">
        <f t="shared" si="34"/>
        <v>0</v>
      </c>
      <c r="AL138" s="40">
        <f t="shared" si="35"/>
        <v>0</v>
      </c>
      <c r="AN138" s="40">
        <v>21</v>
      </c>
      <c r="AO138" s="40">
        <f>I138*0.950955410729535</f>
        <v>0</v>
      </c>
      <c r="AP138" s="40">
        <f>I138*(1-0.950955410729535)</f>
        <v>0</v>
      </c>
      <c r="AQ138" s="17" t="s">
        <v>1260</v>
      </c>
      <c r="AV138" s="40">
        <f t="shared" si="36"/>
        <v>0</v>
      </c>
      <c r="AW138" s="40">
        <f t="shared" si="37"/>
        <v>0</v>
      </c>
      <c r="AX138" s="40">
        <f t="shared" si="38"/>
        <v>0</v>
      </c>
      <c r="AY138" s="17" t="s">
        <v>1246</v>
      </c>
      <c r="AZ138" s="17" t="s">
        <v>1207</v>
      </c>
      <c r="BA138" s="11" t="s">
        <v>871</v>
      </c>
      <c r="BC138" s="40">
        <f t="shared" si="39"/>
        <v>0</v>
      </c>
      <c r="BD138" s="40">
        <f t="shared" si="40"/>
        <v>0</v>
      </c>
      <c r="BE138" s="40">
        <v>0</v>
      </c>
      <c r="BF138" s="40">
        <f>138</f>
        <v>138</v>
      </c>
      <c r="BH138" s="40">
        <f t="shared" si="41"/>
        <v>0</v>
      </c>
      <c r="BI138" s="40">
        <f t="shared" si="42"/>
        <v>0</v>
      </c>
      <c r="BJ138" s="40">
        <f t="shared" si="43"/>
        <v>0</v>
      </c>
      <c r="BK138" s="40"/>
      <c r="BL138" s="40">
        <v>59</v>
      </c>
    </row>
    <row r="139" spans="1:47" ht="15" customHeight="1">
      <c r="A139" s="24" t="s">
        <v>878</v>
      </c>
      <c r="B139" s="66" t="s">
        <v>814</v>
      </c>
      <c r="C139" s="92" t="s">
        <v>1433</v>
      </c>
      <c r="D139" s="92"/>
      <c r="E139" s="92"/>
      <c r="F139" s="92"/>
      <c r="G139" s="3" t="s">
        <v>1172</v>
      </c>
      <c r="H139" s="3" t="s">
        <v>1172</v>
      </c>
      <c r="I139" s="3" t="s">
        <v>1172</v>
      </c>
      <c r="J139" s="63">
        <f>SUM(J140:J140)</f>
        <v>0</v>
      </c>
      <c r="K139" s="63">
        <f>SUM(K140:K140)</f>
        <v>0</v>
      </c>
      <c r="L139" s="63">
        <f>SUM(L140:L140)</f>
        <v>0</v>
      </c>
      <c r="M139" s="4" t="s">
        <v>878</v>
      </c>
      <c r="AI139" s="11" t="s">
        <v>110</v>
      </c>
      <c r="AS139" s="63">
        <f>SUM(AJ140:AJ140)</f>
        <v>0</v>
      </c>
      <c r="AT139" s="63">
        <f>SUM(AK140:AK140)</f>
        <v>0</v>
      </c>
      <c r="AU139" s="63">
        <f>SUM(AL140:AL140)</f>
        <v>0</v>
      </c>
    </row>
    <row r="140" spans="1:64" ht="15" customHeight="1">
      <c r="A140" s="19" t="s">
        <v>218</v>
      </c>
      <c r="B140" s="59" t="s">
        <v>637</v>
      </c>
      <c r="C140" s="76" t="s">
        <v>800</v>
      </c>
      <c r="D140" s="76"/>
      <c r="E140" s="76"/>
      <c r="F140" s="76"/>
      <c r="G140" s="59" t="s">
        <v>312</v>
      </c>
      <c r="H140" s="40">
        <v>22</v>
      </c>
      <c r="I140" s="40">
        <v>0</v>
      </c>
      <c r="J140" s="40">
        <f>H140*AO140</f>
        <v>0</v>
      </c>
      <c r="K140" s="40">
        <f>H140*AP140</f>
        <v>0</v>
      </c>
      <c r="L140" s="40">
        <f>H140*I140</f>
        <v>0</v>
      </c>
      <c r="M140" s="69" t="s">
        <v>868</v>
      </c>
      <c r="Z140" s="40">
        <f>IF(AQ140="5",BJ140,0)</f>
        <v>0</v>
      </c>
      <c r="AB140" s="40">
        <f>IF(AQ140="1",BH140,0)</f>
        <v>0</v>
      </c>
      <c r="AC140" s="40">
        <f>IF(AQ140="1",BI140,0)</f>
        <v>0</v>
      </c>
      <c r="AD140" s="40">
        <f>IF(AQ140="7",BH140,0)</f>
        <v>0</v>
      </c>
      <c r="AE140" s="40">
        <f>IF(AQ140="7",BI140,0)</f>
        <v>0</v>
      </c>
      <c r="AF140" s="40">
        <f>IF(AQ140="2",BH140,0)</f>
        <v>0</v>
      </c>
      <c r="AG140" s="40">
        <f>IF(AQ140="2",BI140,0)</f>
        <v>0</v>
      </c>
      <c r="AH140" s="40">
        <f>IF(AQ140="0",BJ140,0)</f>
        <v>0</v>
      </c>
      <c r="AI140" s="11" t="s">
        <v>110</v>
      </c>
      <c r="AJ140" s="40">
        <f>IF(AN140=0,L140,0)</f>
        <v>0</v>
      </c>
      <c r="AK140" s="40">
        <f>IF(AN140=15,L140,0)</f>
        <v>0</v>
      </c>
      <c r="AL140" s="40">
        <f>IF(AN140=21,L140,0)</f>
        <v>0</v>
      </c>
      <c r="AN140" s="40">
        <v>21</v>
      </c>
      <c r="AO140" s="40">
        <f>I140*0.864684989397324</f>
        <v>0</v>
      </c>
      <c r="AP140" s="40">
        <f>I140*(1-0.864684989397324)</f>
        <v>0</v>
      </c>
      <c r="AQ140" s="17" t="s">
        <v>1262</v>
      </c>
      <c r="AV140" s="40">
        <f>AW140+AX140</f>
        <v>0</v>
      </c>
      <c r="AW140" s="40">
        <f>H140*AO140</f>
        <v>0</v>
      </c>
      <c r="AX140" s="40">
        <f>H140*AP140</f>
        <v>0</v>
      </c>
      <c r="AY140" s="17" t="s">
        <v>198</v>
      </c>
      <c r="AZ140" s="17" t="s">
        <v>970</v>
      </c>
      <c r="BA140" s="11" t="s">
        <v>871</v>
      </c>
      <c r="BC140" s="40">
        <f>AW140+AX140</f>
        <v>0</v>
      </c>
      <c r="BD140" s="40">
        <f>I140/(100-BE140)*100</f>
        <v>0</v>
      </c>
      <c r="BE140" s="40">
        <v>0</v>
      </c>
      <c r="BF140" s="40">
        <f>140</f>
        <v>140</v>
      </c>
      <c r="BH140" s="40">
        <f>H140*AO140</f>
        <v>0</v>
      </c>
      <c r="BI140" s="40">
        <f>H140*AP140</f>
        <v>0</v>
      </c>
      <c r="BJ140" s="40">
        <f>H140*I140</f>
        <v>0</v>
      </c>
      <c r="BK140" s="40"/>
      <c r="BL140" s="40">
        <v>721</v>
      </c>
    </row>
    <row r="141" spans="1:47" ht="15" customHeight="1">
      <c r="A141" s="24" t="s">
        <v>878</v>
      </c>
      <c r="B141" s="66" t="s">
        <v>63</v>
      </c>
      <c r="C141" s="92" t="s">
        <v>100</v>
      </c>
      <c r="D141" s="92"/>
      <c r="E141" s="92"/>
      <c r="F141" s="92"/>
      <c r="G141" s="3" t="s">
        <v>1172</v>
      </c>
      <c r="H141" s="3" t="s">
        <v>1172</v>
      </c>
      <c r="I141" s="3" t="s">
        <v>1172</v>
      </c>
      <c r="J141" s="63">
        <f>SUM(J142:J150)</f>
        <v>0</v>
      </c>
      <c r="K141" s="63">
        <f>SUM(K142:K150)</f>
        <v>0</v>
      </c>
      <c r="L141" s="63">
        <f>SUM(L142:L150)</f>
        <v>0</v>
      </c>
      <c r="M141" s="4" t="s">
        <v>878</v>
      </c>
      <c r="AI141" s="11" t="s">
        <v>110</v>
      </c>
      <c r="AS141" s="63">
        <f>SUM(AJ142:AJ150)</f>
        <v>0</v>
      </c>
      <c r="AT141" s="63">
        <f>SUM(AK142:AK150)</f>
        <v>0</v>
      </c>
      <c r="AU141" s="63">
        <f>SUM(AL142:AL150)</f>
        <v>0</v>
      </c>
    </row>
    <row r="142" spans="1:64" ht="15" customHeight="1">
      <c r="A142" s="19" t="s">
        <v>236</v>
      </c>
      <c r="B142" s="59" t="s">
        <v>674</v>
      </c>
      <c r="C142" s="76" t="s">
        <v>848</v>
      </c>
      <c r="D142" s="76"/>
      <c r="E142" s="76"/>
      <c r="F142" s="76"/>
      <c r="G142" s="59" t="s">
        <v>1041</v>
      </c>
      <c r="H142" s="40">
        <v>460.5</v>
      </c>
      <c r="I142" s="40">
        <v>0</v>
      </c>
      <c r="J142" s="40">
        <f aca="true" t="shared" si="44" ref="J142:J150">H142*AO142</f>
        <v>0</v>
      </c>
      <c r="K142" s="40">
        <f aca="true" t="shared" si="45" ref="K142:K150">H142*AP142</f>
        <v>0</v>
      </c>
      <c r="L142" s="40">
        <f aca="true" t="shared" si="46" ref="L142:L150">H142*I142</f>
        <v>0</v>
      </c>
      <c r="M142" s="69" t="s">
        <v>868</v>
      </c>
      <c r="Z142" s="40">
        <f aca="true" t="shared" si="47" ref="Z142:Z150">IF(AQ142="5",BJ142,0)</f>
        <v>0</v>
      </c>
      <c r="AB142" s="40">
        <f aca="true" t="shared" si="48" ref="AB142:AB150">IF(AQ142="1",BH142,0)</f>
        <v>0</v>
      </c>
      <c r="AC142" s="40">
        <f aca="true" t="shared" si="49" ref="AC142:AC150">IF(AQ142="1",BI142,0)</f>
        <v>0</v>
      </c>
      <c r="AD142" s="40">
        <f aca="true" t="shared" si="50" ref="AD142:AD150">IF(AQ142="7",BH142,0)</f>
        <v>0</v>
      </c>
      <c r="AE142" s="40">
        <f aca="true" t="shared" si="51" ref="AE142:AE150">IF(AQ142="7",BI142,0)</f>
        <v>0</v>
      </c>
      <c r="AF142" s="40">
        <f aca="true" t="shared" si="52" ref="AF142:AF150">IF(AQ142="2",BH142,0)</f>
        <v>0</v>
      </c>
      <c r="AG142" s="40">
        <f aca="true" t="shared" si="53" ref="AG142:AG150">IF(AQ142="2",BI142,0)</f>
        <v>0</v>
      </c>
      <c r="AH142" s="40">
        <f aca="true" t="shared" si="54" ref="AH142:AH150">IF(AQ142="0",BJ142,0)</f>
        <v>0</v>
      </c>
      <c r="AI142" s="11" t="s">
        <v>110</v>
      </c>
      <c r="AJ142" s="40">
        <f aca="true" t="shared" si="55" ref="AJ142:AJ150">IF(AN142=0,L142,0)</f>
        <v>0</v>
      </c>
      <c r="AK142" s="40">
        <f aca="true" t="shared" si="56" ref="AK142:AK150">IF(AN142=15,L142,0)</f>
        <v>0</v>
      </c>
      <c r="AL142" s="40">
        <f aca="true" t="shared" si="57" ref="AL142:AL150">IF(AN142=21,L142,0)</f>
        <v>0</v>
      </c>
      <c r="AN142" s="40">
        <v>21</v>
      </c>
      <c r="AO142" s="40">
        <f>I142*0.006</f>
        <v>0</v>
      </c>
      <c r="AP142" s="40">
        <f>I142*(1-0.006)</f>
        <v>0</v>
      </c>
      <c r="AQ142" s="17" t="s">
        <v>1260</v>
      </c>
      <c r="AV142" s="40">
        <f aca="true" t="shared" si="58" ref="AV142:AV150">AW142+AX142</f>
        <v>0</v>
      </c>
      <c r="AW142" s="40">
        <f aca="true" t="shared" si="59" ref="AW142:AW150">H142*AO142</f>
        <v>0</v>
      </c>
      <c r="AX142" s="40">
        <f aca="true" t="shared" si="60" ref="AX142:AX150">H142*AP142</f>
        <v>0</v>
      </c>
      <c r="AY142" s="17" t="s">
        <v>88</v>
      </c>
      <c r="AZ142" s="17" t="s">
        <v>449</v>
      </c>
      <c r="BA142" s="11" t="s">
        <v>871</v>
      </c>
      <c r="BC142" s="40">
        <f aca="true" t="shared" si="61" ref="BC142:BC150">AW142+AX142</f>
        <v>0</v>
      </c>
      <c r="BD142" s="40">
        <f aca="true" t="shared" si="62" ref="BD142:BD150">I142/(100-BE142)*100</f>
        <v>0</v>
      </c>
      <c r="BE142" s="40">
        <v>0</v>
      </c>
      <c r="BF142" s="40">
        <f>142</f>
        <v>142</v>
      </c>
      <c r="BH142" s="40">
        <f aca="true" t="shared" si="63" ref="BH142:BH150">H142*AO142</f>
        <v>0</v>
      </c>
      <c r="BI142" s="40">
        <f aca="true" t="shared" si="64" ref="BI142:BI150">H142*AP142</f>
        <v>0</v>
      </c>
      <c r="BJ142" s="40">
        <f aca="true" t="shared" si="65" ref="BJ142:BJ150">H142*I142</f>
        <v>0</v>
      </c>
      <c r="BK142" s="40"/>
      <c r="BL142" s="40">
        <v>87</v>
      </c>
    </row>
    <row r="143" spans="1:64" ht="15" customHeight="1">
      <c r="A143" s="19" t="s">
        <v>1284</v>
      </c>
      <c r="B143" s="59" t="s">
        <v>877</v>
      </c>
      <c r="C143" s="76" t="s">
        <v>1380</v>
      </c>
      <c r="D143" s="76"/>
      <c r="E143" s="76"/>
      <c r="F143" s="76"/>
      <c r="G143" s="59" t="s">
        <v>312</v>
      </c>
      <c r="H143" s="40">
        <v>8</v>
      </c>
      <c r="I143" s="40">
        <v>0</v>
      </c>
      <c r="J143" s="40">
        <f t="shared" si="44"/>
        <v>0</v>
      </c>
      <c r="K143" s="40">
        <f t="shared" si="45"/>
        <v>0</v>
      </c>
      <c r="L143" s="40">
        <f t="shared" si="46"/>
        <v>0</v>
      </c>
      <c r="M143" s="69" t="s">
        <v>868</v>
      </c>
      <c r="Z143" s="40">
        <f t="shared" si="47"/>
        <v>0</v>
      </c>
      <c r="AB143" s="40">
        <f t="shared" si="48"/>
        <v>0</v>
      </c>
      <c r="AC143" s="40">
        <f t="shared" si="49"/>
        <v>0</v>
      </c>
      <c r="AD143" s="40">
        <f t="shared" si="50"/>
        <v>0</v>
      </c>
      <c r="AE143" s="40">
        <f t="shared" si="51"/>
        <v>0</v>
      </c>
      <c r="AF143" s="40">
        <f t="shared" si="52"/>
        <v>0</v>
      </c>
      <c r="AG143" s="40">
        <f t="shared" si="53"/>
        <v>0</v>
      </c>
      <c r="AH143" s="40">
        <f t="shared" si="54"/>
        <v>0</v>
      </c>
      <c r="AI143" s="11" t="s">
        <v>110</v>
      </c>
      <c r="AJ143" s="40">
        <f t="shared" si="55"/>
        <v>0</v>
      </c>
      <c r="AK143" s="40">
        <f t="shared" si="56"/>
        <v>0</v>
      </c>
      <c r="AL143" s="40">
        <f t="shared" si="57"/>
        <v>0</v>
      </c>
      <c r="AN143" s="40">
        <v>21</v>
      </c>
      <c r="AO143" s="40">
        <f>I143*1</f>
        <v>0</v>
      </c>
      <c r="AP143" s="40">
        <f>I143*(1-1)</f>
        <v>0</v>
      </c>
      <c r="AQ143" s="17" t="s">
        <v>1260</v>
      </c>
      <c r="AV143" s="40">
        <f t="shared" si="58"/>
        <v>0</v>
      </c>
      <c r="AW143" s="40">
        <f t="shared" si="59"/>
        <v>0</v>
      </c>
      <c r="AX143" s="40">
        <f t="shared" si="60"/>
        <v>0</v>
      </c>
      <c r="AY143" s="17" t="s">
        <v>88</v>
      </c>
      <c r="AZ143" s="17" t="s">
        <v>449</v>
      </c>
      <c r="BA143" s="11" t="s">
        <v>871</v>
      </c>
      <c r="BC143" s="40">
        <f t="shared" si="61"/>
        <v>0</v>
      </c>
      <c r="BD143" s="40">
        <f t="shared" si="62"/>
        <v>0</v>
      </c>
      <c r="BE143" s="40">
        <v>0</v>
      </c>
      <c r="BF143" s="40">
        <f>143</f>
        <v>143</v>
      </c>
      <c r="BH143" s="40">
        <f t="shared" si="63"/>
        <v>0</v>
      </c>
      <c r="BI143" s="40">
        <f t="shared" si="64"/>
        <v>0</v>
      </c>
      <c r="BJ143" s="40">
        <f t="shared" si="65"/>
        <v>0</v>
      </c>
      <c r="BK143" s="40"/>
      <c r="BL143" s="40">
        <v>87</v>
      </c>
    </row>
    <row r="144" spans="1:64" ht="15" customHeight="1">
      <c r="A144" s="19" t="s">
        <v>755</v>
      </c>
      <c r="B144" s="59" t="s">
        <v>607</v>
      </c>
      <c r="C144" s="76" t="s">
        <v>1114</v>
      </c>
      <c r="D144" s="76"/>
      <c r="E144" s="76"/>
      <c r="F144" s="76"/>
      <c r="G144" s="59" t="s">
        <v>312</v>
      </c>
      <c r="H144" s="40">
        <v>75</v>
      </c>
      <c r="I144" s="40">
        <v>0</v>
      </c>
      <c r="J144" s="40">
        <f t="shared" si="44"/>
        <v>0</v>
      </c>
      <c r="K144" s="40">
        <f t="shared" si="45"/>
        <v>0</v>
      </c>
      <c r="L144" s="40">
        <f t="shared" si="46"/>
        <v>0</v>
      </c>
      <c r="M144" s="69" t="s">
        <v>868</v>
      </c>
      <c r="Z144" s="40">
        <f t="shared" si="47"/>
        <v>0</v>
      </c>
      <c r="AB144" s="40">
        <f t="shared" si="48"/>
        <v>0</v>
      </c>
      <c r="AC144" s="40">
        <f t="shared" si="49"/>
        <v>0</v>
      </c>
      <c r="AD144" s="40">
        <f t="shared" si="50"/>
        <v>0</v>
      </c>
      <c r="AE144" s="40">
        <f t="shared" si="51"/>
        <v>0</v>
      </c>
      <c r="AF144" s="40">
        <f t="shared" si="52"/>
        <v>0</v>
      </c>
      <c r="AG144" s="40">
        <f t="shared" si="53"/>
        <v>0</v>
      </c>
      <c r="AH144" s="40">
        <f t="shared" si="54"/>
        <v>0</v>
      </c>
      <c r="AI144" s="11" t="s">
        <v>110</v>
      </c>
      <c r="AJ144" s="40">
        <f t="shared" si="55"/>
        <v>0</v>
      </c>
      <c r="AK144" s="40">
        <f t="shared" si="56"/>
        <v>0</v>
      </c>
      <c r="AL144" s="40">
        <f t="shared" si="57"/>
        <v>0</v>
      </c>
      <c r="AN144" s="40">
        <v>21</v>
      </c>
      <c r="AO144" s="40">
        <f>I144*1</f>
        <v>0</v>
      </c>
      <c r="AP144" s="40">
        <f>I144*(1-1)</f>
        <v>0</v>
      </c>
      <c r="AQ144" s="17" t="s">
        <v>1260</v>
      </c>
      <c r="AV144" s="40">
        <f t="shared" si="58"/>
        <v>0</v>
      </c>
      <c r="AW144" s="40">
        <f t="shared" si="59"/>
        <v>0</v>
      </c>
      <c r="AX144" s="40">
        <f t="shared" si="60"/>
        <v>0</v>
      </c>
      <c r="AY144" s="17" t="s">
        <v>88</v>
      </c>
      <c r="AZ144" s="17" t="s">
        <v>449</v>
      </c>
      <c r="BA144" s="11" t="s">
        <v>871</v>
      </c>
      <c r="BC144" s="40">
        <f t="shared" si="61"/>
        <v>0</v>
      </c>
      <c r="BD144" s="40">
        <f t="shared" si="62"/>
        <v>0</v>
      </c>
      <c r="BE144" s="40">
        <v>0</v>
      </c>
      <c r="BF144" s="40">
        <f>144</f>
        <v>144</v>
      </c>
      <c r="BH144" s="40">
        <f t="shared" si="63"/>
        <v>0</v>
      </c>
      <c r="BI144" s="40">
        <f t="shared" si="64"/>
        <v>0</v>
      </c>
      <c r="BJ144" s="40">
        <f t="shared" si="65"/>
        <v>0</v>
      </c>
      <c r="BK144" s="40"/>
      <c r="BL144" s="40">
        <v>87</v>
      </c>
    </row>
    <row r="145" spans="1:64" ht="15" customHeight="1">
      <c r="A145" s="19" t="s">
        <v>606</v>
      </c>
      <c r="B145" s="59" t="s">
        <v>9</v>
      </c>
      <c r="C145" s="76" t="s">
        <v>443</v>
      </c>
      <c r="D145" s="76"/>
      <c r="E145" s="76"/>
      <c r="F145" s="76"/>
      <c r="G145" s="59" t="s">
        <v>312</v>
      </c>
      <c r="H145" s="40">
        <v>66</v>
      </c>
      <c r="I145" s="40">
        <v>0</v>
      </c>
      <c r="J145" s="40">
        <f t="shared" si="44"/>
        <v>0</v>
      </c>
      <c r="K145" s="40">
        <f t="shared" si="45"/>
        <v>0</v>
      </c>
      <c r="L145" s="40">
        <f t="shared" si="46"/>
        <v>0</v>
      </c>
      <c r="M145" s="69" t="s">
        <v>868</v>
      </c>
      <c r="Z145" s="40">
        <f t="shared" si="47"/>
        <v>0</v>
      </c>
      <c r="AB145" s="40">
        <f t="shared" si="48"/>
        <v>0</v>
      </c>
      <c r="AC145" s="40">
        <f t="shared" si="49"/>
        <v>0</v>
      </c>
      <c r="AD145" s="40">
        <f t="shared" si="50"/>
        <v>0</v>
      </c>
      <c r="AE145" s="40">
        <f t="shared" si="51"/>
        <v>0</v>
      </c>
      <c r="AF145" s="40">
        <f t="shared" si="52"/>
        <v>0</v>
      </c>
      <c r="AG145" s="40">
        <f t="shared" si="53"/>
        <v>0</v>
      </c>
      <c r="AH145" s="40">
        <f t="shared" si="54"/>
        <v>0</v>
      </c>
      <c r="AI145" s="11" t="s">
        <v>110</v>
      </c>
      <c r="AJ145" s="40">
        <f t="shared" si="55"/>
        <v>0</v>
      </c>
      <c r="AK145" s="40">
        <f t="shared" si="56"/>
        <v>0</v>
      </c>
      <c r="AL145" s="40">
        <f t="shared" si="57"/>
        <v>0</v>
      </c>
      <c r="AN145" s="40">
        <v>21</v>
      </c>
      <c r="AO145" s="40">
        <f>I145*0.00831423306817671</f>
        <v>0</v>
      </c>
      <c r="AP145" s="40">
        <f>I145*(1-0.00831423306817671)</f>
        <v>0</v>
      </c>
      <c r="AQ145" s="17" t="s">
        <v>1260</v>
      </c>
      <c r="AV145" s="40">
        <f t="shared" si="58"/>
        <v>0</v>
      </c>
      <c r="AW145" s="40">
        <f t="shared" si="59"/>
        <v>0</v>
      </c>
      <c r="AX145" s="40">
        <f t="shared" si="60"/>
        <v>0</v>
      </c>
      <c r="AY145" s="17" t="s">
        <v>88</v>
      </c>
      <c r="AZ145" s="17" t="s">
        <v>449</v>
      </c>
      <c r="BA145" s="11" t="s">
        <v>871</v>
      </c>
      <c r="BC145" s="40">
        <f t="shared" si="61"/>
        <v>0</v>
      </c>
      <c r="BD145" s="40">
        <f t="shared" si="62"/>
        <v>0</v>
      </c>
      <c r="BE145" s="40">
        <v>0</v>
      </c>
      <c r="BF145" s="40">
        <f>145</f>
        <v>145</v>
      </c>
      <c r="BH145" s="40">
        <f t="shared" si="63"/>
        <v>0</v>
      </c>
      <c r="BI145" s="40">
        <f t="shared" si="64"/>
        <v>0</v>
      </c>
      <c r="BJ145" s="40">
        <f t="shared" si="65"/>
        <v>0</v>
      </c>
      <c r="BK145" s="40"/>
      <c r="BL145" s="40">
        <v>87</v>
      </c>
    </row>
    <row r="146" spans="1:64" ht="15" customHeight="1">
      <c r="A146" s="19" t="s">
        <v>829</v>
      </c>
      <c r="B146" s="59" t="s">
        <v>1070</v>
      </c>
      <c r="C146" s="76" t="s">
        <v>267</v>
      </c>
      <c r="D146" s="76"/>
      <c r="E146" s="76"/>
      <c r="F146" s="76"/>
      <c r="G146" s="59" t="s">
        <v>312</v>
      </c>
      <c r="H146" s="40">
        <v>66</v>
      </c>
      <c r="I146" s="40">
        <v>0</v>
      </c>
      <c r="J146" s="40">
        <f t="shared" si="44"/>
        <v>0</v>
      </c>
      <c r="K146" s="40">
        <f t="shared" si="45"/>
        <v>0</v>
      </c>
      <c r="L146" s="40">
        <f t="shared" si="46"/>
        <v>0</v>
      </c>
      <c r="M146" s="69" t="s">
        <v>868</v>
      </c>
      <c r="Z146" s="40">
        <f t="shared" si="47"/>
        <v>0</v>
      </c>
      <c r="AB146" s="40">
        <f t="shared" si="48"/>
        <v>0</v>
      </c>
      <c r="AC146" s="40">
        <f t="shared" si="49"/>
        <v>0</v>
      </c>
      <c r="AD146" s="40">
        <f t="shared" si="50"/>
        <v>0</v>
      </c>
      <c r="AE146" s="40">
        <f t="shared" si="51"/>
        <v>0</v>
      </c>
      <c r="AF146" s="40">
        <f t="shared" si="52"/>
        <v>0</v>
      </c>
      <c r="AG146" s="40">
        <f t="shared" si="53"/>
        <v>0</v>
      </c>
      <c r="AH146" s="40">
        <f t="shared" si="54"/>
        <v>0</v>
      </c>
      <c r="AI146" s="11" t="s">
        <v>110</v>
      </c>
      <c r="AJ146" s="40">
        <f t="shared" si="55"/>
        <v>0</v>
      </c>
      <c r="AK146" s="40">
        <f t="shared" si="56"/>
        <v>0</v>
      </c>
      <c r="AL146" s="40">
        <f t="shared" si="57"/>
        <v>0</v>
      </c>
      <c r="AN146" s="40">
        <v>21</v>
      </c>
      <c r="AO146" s="40">
        <f>I146*1</f>
        <v>0</v>
      </c>
      <c r="AP146" s="40">
        <f>I146*(1-1)</f>
        <v>0</v>
      </c>
      <c r="AQ146" s="17" t="s">
        <v>1260</v>
      </c>
      <c r="AV146" s="40">
        <f t="shared" si="58"/>
        <v>0</v>
      </c>
      <c r="AW146" s="40">
        <f t="shared" si="59"/>
        <v>0</v>
      </c>
      <c r="AX146" s="40">
        <f t="shared" si="60"/>
        <v>0</v>
      </c>
      <c r="AY146" s="17" t="s">
        <v>88</v>
      </c>
      <c r="AZ146" s="17" t="s">
        <v>449</v>
      </c>
      <c r="BA146" s="11" t="s">
        <v>871</v>
      </c>
      <c r="BC146" s="40">
        <f t="shared" si="61"/>
        <v>0</v>
      </c>
      <c r="BD146" s="40">
        <f t="shared" si="62"/>
        <v>0</v>
      </c>
      <c r="BE146" s="40">
        <v>0</v>
      </c>
      <c r="BF146" s="40">
        <f>146</f>
        <v>146</v>
      </c>
      <c r="BH146" s="40">
        <f t="shared" si="63"/>
        <v>0</v>
      </c>
      <c r="BI146" s="40">
        <f t="shared" si="64"/>
        <v>0</v>
      </c>
      <c r="BJ146" s="40">
        <f t="shared" si="65"/>
        <v>0</v>
      </c>
      <c r="BK146" s="40"/>
      <c r="BL146" s="40">
        <v>87</v>
      </c>
    </row>
    <row r="147" spans="1:64" ht="15" customHeight="1">
      <c r="A147" s="19" t="s">
        <v>63</v>
      </c>
      <c r="B147" s="59" t="s">
        <v>1303</v>
      </c>
      <c r="C147" s="76" t="s">
        <v>631</v>
      </c>
      <c r="D147" s="76"/>
      <c r="E147" s="76"/>
      <c r="F147" s="76"/>
      <c r="G147" s="59" t="s">
        <v>312</v>
      </c>
      <c r="H147" s="40">
        <v>66</v>
      </c>
      <c r="I147" s="40">
        <v>0</v>
      </c>
      <c r="J147" s="40">
        <f t="shared" si="44"/>
        <v>0</v>
      </c>
      <c r="K147" s="40">
        <f t="shared" si="45"/>
        <v>0</v>
      </c>
      <c r="L147" s="40">
        <f t="shared" si="46"/>
        <v>0</v>
      </c>
      <c r="M147" s="69" t="s">
        <v>868</v>
      </c>
      <c r="Z147" s="40">
        <f t="shared" si="47"/>
        <v>0</v>
      </c>
      <c r="AB147" s="40">
        <f t="shared" si="48"/>
        <v>0</v>
      </c>
      <c r="AC147" s="40">
        <f t="shared" si="49"/>
        <v>0</v>
      </c>
      <c r="AD147" s="40">
        <f t="shared" si="50"/>
        <v>0</v>
      </c>
      <c r="AE147" s="40">
        <f t="shared" si="51"/>
        <v>0</v>
      </c>
      <c r="AF147" s="40">
        <f t="shared" si="52"/>
        <v>0</v>
      </c>
      <c r="AG147" s="40">
        <f t="shared" si="53"/>
        <v>0</v>
      </c>
      <c r="AH147" s="40">
        <f t="shared" si="54"/>
        <v>0</v>
      </c>
      <c r="AI147" s="11" t="s">
        <v>110</v>
      </c>
      <c r="AJ147" s="40">
        <f t="shared" si="55"/>
        <v>0</v>
      </c>
      <c r="AK147" s="40">
        <f t="shared" si="56"/>
        <v>0</v>
      </c>
      <c r="AL147" s="40">
        <f t="shared" si="57"/>
        <v>0</v>
      </c>
      <c r="AN147" s="40">
        <v>21</v>
      </c>
      <c r="AO147" s="40">
        <f>I147*0.00921843687374749</f>
        <v>0</v>
      </c>
      <c r="AP147" s="40">
        <f>I147*(1-0.00921843687374749)</f>
        <v>0</v>
      </c>
      <c r="AQ147" s="17" t="s">
        <v>1260</v>
      </c>
      <c r="AV147" s="40">
        <f t="shared" si="58"/>
        <v>0</v>
      </c>
      <c r="AW147" s="40">
        <f t="shared" si="59"/>
        <v>0</v>
      </c>
      <c r="AX147" s="40">
        <f t="shared" si="60"/>
        <v>0</v>
      </c>
      <c r="AY147" s="17" t="s">
        <v>88</v>
      </c>
      <c r="AZ147" s="17" t="s">
        <v>449</v>
      </c>
      <c r="BA147" s="11" t="s">
        <v>871</v>
      </c>
      <c r="BC147" s="40">
        <f t="shared" si="61"/>
        <v>0</v>
      </c>
      <c r="BD147" s="40">
        <f t="shared" si="62"/>
        <v>0</v>
      </c>
      <c r="BE147" s="40">
        <v>0</v>
      </c>
      <c r="BF147" s="40">
        <f>147</f>
        <v>147</v>
      </c>
      <c r="BH147" s="40">
        <f t="shared" si="63"/>
        <v>0</v>
      </c>
      <c r="BI147" s="40">
        <f t="shared" si="64"/>
        <v>0</v>
      </c>
      <c r="BJ147" s="40">
        <f t="shared" si="65"/>
        <v>0</v>
      </c>
      <c r="BK147" s="40"/>
      <c r="BL147" s="40">
        <v>87</v>
      </c>
    </row>
    <row r="148" spans="1:64" ht="15" customHeight="1">
      <c r="A148" s="19" t="s">
        <v>1354</v>
      </c>
      <c r="B148" s="59" t="s">
        <v>767</v>
      </c>
      <c r="C148" s="76" t="s">
        <v>818</v>
      </c>
      <c r="D148" s="76"/>
      <c r="E148" s="76"/>
      <c r="F148" s="76"/>
      <c r="G148" s="59" t="s">
        <v>312</v>
      </c>
      <c r="H148" s="40">
        <v>66</v>
      </c>
      <c r="I148" s="40">
        <v>0</v>
      </c>
      <c r="J148" s="40">
        <f t="shared" si="44"/>
        <v>0</v>
      </c>
      <c r="K148" s="40">
        <f t="shared" si="45"/>
        <v>0</v>
      </c>
      <c r="L148" s="40">
        <f t="shared" si="46"/>
        <v>0</v>
      </c>
      <c r="M148" s="69" t="s">
        <v>868</v>
      </c>
      <c r="Z148" s="40">
        <f t="shared" si="47"/>
        <v>0</v>
      </c>
      <c r="AB148" s="40">
        <f t="shared" si="48"/>
        <v>0</v>
      </c>
      <c r="AC148" s="40">
        <f t="shared" si="49"/>
        <v>0</v>
      </c>
      <c r="AD148" s="40">
        <f t="shared" si="50"/>
        <v>0</v>
      </c>
      <c r="AE148" s="40">
        <f t="shared" si="51"/>
        <v>0</v>
      </c>
      <c r="AF148" s="40">
        <f t="shared" si="52"/>
        <v>0</v>
      </c>
      <c r="AG148" s="40">
        <f t="shared" si="53"/>
        <v>0</v>
      </c>
      <c r="AH148" s="40">
        <f t="shared" si="54"/>
        <v>0</v>
      </c>
      <c r="AI148" s="11" t="s">
        <v>110</v>
      </c>
      <c r="AJ148" s="40">
        <f t="shared" si="55"/>
        <v>0</v>
      </c>
      <c r="AK148" s="40">
        <f t="shared" si="56"/>
        <v>0</v>
      </c>
      <c r="AL148" s="40">
        <f t="shared" si="57"/>
        <v>0</v>
      </c>
      <c r="AN148" s="40">
        <v>21</v>
      </c>
      <c r="AO148" s="40">
        <f>I148*1</f>
        <v>0</v>
      </c>
      <c r="AP148" s="40">
        <f>I148*(1-1)</f>
        <v>0</v>
      </c>
      <c r="AQ148" s="17" t="s">
        <v>1260</v>
      </c>
      <c r="AV148" s="40">
        <f t="shared" si="58"/>
        <v>0</v>
      </c>
      <c r="AW148" s="40">
        <f t="shared" si="59"/>
        <v>0</v>
      </c>
      <c r="AX148" s="40">
        <f t="shared" si="60"/>
        <v>0</v>
      </c>
      <c r="AY148" s="17" t="s">
        <v>88</v>
      </c>
      <c r="AZ148" s="17" t="s">
        <v>449</v>
      </c>
      <c r="BA148" s="11" t="s">
        <v>871</v>
      </c>
      <c r="BC148" s="40">
        <f t="shared" si="61"/>
        <v>0</v>
      </c>
      <c r="BD148" s="40">
        <f t="shared" si="62"/>
        <v>0</v>
      </c>
      <c r="BE148" s="40">
        <v>0</v>
      </c>
      <c r="BF148" s="40">
        <f>148</f>
        <v>148</v>
      </c>
      <c r="BH148" s="40">
        <f t="shared" si="63"/>
        <v>0</v>
      </c>
      <c r="BI148" s="40">
        <f t="shared" si="64"/>
        <v>0</v>
      </c>
      <c r="BJ148" s="40">
        <f t="shared" si="65"/>
        <v>0</v>
      </c>
      <c r="BK148" s="40"/>
      <c r="BL148" s="40">
        <v>87</v>
      </c>
    </row>
    <row r="149" spans="1:64" ht="15" customHeight="1">
      <c r="A149" s="19" t="s">
        <v>1338</v>
      </c>
      <c r="B149" s="59" t="s">
        <v>148</v>
      </c>
      <c r="C149" s="76" t="s">
        <v>1228</v>
      </c>
      <c r="D149" s="76"/>
      <c r="E149" s="76"/>
      <c r="F149" s="76"/>
      <c r="G149" s="59" t="s">
        <v>1041</v>
      </c>
      <c r="H149" s="40">
        <v>442.6</v>
      </c>
      <c r="I149" s="40">
        <v>0</v>
      </c>
      <c r="J149" s="40">
        <f t="shared" si="44"/>
        <v>0</v>
      </c>
      <c r="K149" s="40">
        <f t="shared" si="45"/>
        <v>0</v>
      </c>
      <c r="L149" s="40">
        <f t="shared" si="46"/>
        <v>0</v>
      </c>
      <c r="M149" s="69" t="s">
        <v>868</v>
      </c>
      <c r="Z149" s="40">
        <f t="shared" si="47"/>
        <v>0</v>
      </c>
      <c r="AB149" s="40">
        <f t="shared" si="48"/>
        <v>0</v>
      </c>
      <c r="AC149" s="40">
        <f t="shared" si="49"/>
        <v>0</v>
      </c>
      <c r="AD149" s="40">
        <f t="shared" si="50"/>
        <v>0</v>
      </c>
      <c r="AE149" s="40">
        <f t="shared" si="51"/>
        <v>0</v>
      </c>
      <c r="AF149" s="40">
        <f t="shared" si="52"/>
        <v>0</v>
      </c>
      <c r="AG149" s="40">
        <f t="shared" si="53"/>
        <v>0</v>
      </c>
      <c r="AH149" s="40">
        <f t="shared" si="54"/>
        <v>0</v>
      </c>
      <c r="AI149" s="11" t="s">
        <v>110</v>
      </c>
      <c r="AJ149" s="40">
        <f t="shared" si="55"/>
        <v>0</v>
      </c>
      <c r="AK149" s="40">
        <f t="shared" si="56"/>
        <v>0</v>
      </c>
      <c r="AL149" s="40">
        <f t="shared" si="57"/>
        <v>0</v>
      </c>
      <c r="AN149" s="40">
        <v>21</v>
      </c>
      <c r="AO149" s="40">
        <f>I149*0.00459770114942529</f>
        <v>0</v>
      </c>
      <c r="AP149" s="40">
        <f>I149*(1-0.00459770114942529)</f>
        <v>0</v>
      </c>
      <c r="AQ149" s="17" t="s">
        <v>1260</v>
      </c>
      <c r="AV149" s="40">
        <f t="shared" si="58"/>
        <v>0</v>
      </c>
      <c r="AW149" s="40">
        <f t="shared" si="59"/>
        <v>0</v>
      </c>
      <c r="AX149" s="40">
        <f t="shared" si="60"/>
        <v>0</v>
      </c>
      <c r="AY149" s="17" t="s">
        <v>88</v>
      </c>
      <c r="AZ149" s="17" t="s">
        <v>449</v>
      </c>
      <c r="BA149" s="11" t="s">
        <v>871</v>
      </c>
      <c r="BC149" s="40">
        <f t="shared" si="61"/>
        <v>0</v>
      </c>
      <c r="BD149" s="40">
        <f t="shared" si="62"/>
        <v>0</v>
      </c>
      <c r="BE149" s="40">
        <v>0</v>
      </c>
      <c r="BF149" s="40">
        <f>149</f>
        <v>149</v>
      </c>
      <c r="BH149" s="40">
        <f t="shared" si="63"/>
        <v>0</v>
      </c>
      <c r="BI149" s="40">
        <f t="shared" si="64"/>
        <v>0</v>
      </c>
      <c r="BJ149" s="40">
        <f t="shared" si="65"/>
        <v>0</v>
      </c>
      <c r="BK149" s="40"/>
      <c r="BL149" s="40">
        <v>87</v>
      </c>
    </row>
    <row r="150" spans="1:64" ht="15" customHeight="1">
      <c r="A150" s="19" t="s">
        <v>1332</v>
      </c>
      <c r="B150" s="59" t="s">
        <v>1130</v>
      </c>
      <c r="C150" s="76" t="s">
        <v>1316</v>
      </c>
      <c r="D150" s="76"/>
      <c r="E150" s="76"/>
      <c r="F150" s="76"/>
      <c r="G150" s="59" t="s">
        <v>312</v>
      </c>
      <c r="H150" s="40">
        <v>155</v>
      </c>
      <c r="I150" s="40">
        <v>0</v>
      </c>
      <c r="J150" s="40">
        <f t="shared" si="44"/>
        <v>0</v>
      </c>
      <c r="K150" s="40">
        <f t="shared" si="45"/>
        <v>0</v>
      </c>
      <c r="L150" s="40">
        <f t="shared" si="46"/>
        <v>0</v>
      </c>
      <c r="M150" s="69" t="s">
        <v>868</v>
      </c>
      <c r="Z150" s="40">
        <f t="shared" si="47"/>
        <v>0</v>
      </c>
      <c r="AB150" s="40">
        <f t="shared" si="48"/>
        <v>0</v>
      </c>
      <c r="AC150" s="40">
        <f t="shared" si="49"/>
        <v>0</v>
      </c>
      <c r="AD150" s="40">
        <f t="shared" si="50"/>
        <v>0</v>
      </c>
      <c r="AE150" s="40">
        <f t="shared" si="51"/>
        <v>0</v>
      </c>
      <c r="AF150" s="40">
        <f t="shared" si="52"/>
        <v>0</v>
      </c>
      <c r="AG150" s="40">
        <f t="shared" si="53"/>
        <v>0</v>
      </c>
      <c r="AH150" s="40">
        <f t="shared" si="54"/>
        <v>0</v>
      </c>
      <c r="AI150" s="11" t="s">
        <v>110</v>
      </c>
      <c r="AJ150" s="40">
        <f t="shared" si="55"/>
        <v>0</v>
      </c>
      <c r="AK150" s="40">
        <f t="shared" si="56"/>
        <v>0</v>
      </c>
      <c r="AL150" s="40">
        <f t="shared" si="57"/>
        <v>0</v>
      </c>
      <c r="AN150" s="40">
        <v>21</v>
      </c>
      <c r="AO150" s="40">
        <f>I150*1</f>
        <v>0</v>
      </c>
      <c r="AP150" s="40">
        <f>I150*(1-1)</f>
        <v>0</v>
      </c>
      <c r="AQ150" s="17" t="s">
        <v>1260</v>
      </c>
      <c r="AV150" s="40">
        <f t="shared" si="58"/>
        <v>0</v>
      </c>
      <c r="AW150" s="40">
        <f t="shared" si="59"/>
        <v>0</v>
      </c>
      <c r="AX150" s="40">
        <f t="shared" si="60"/>
        <v>0</v>
      </c>
      <c r="AY150" s="17" t="s">
        <v>88</v>
      </c>
      <c r="AZ150" s="17" t="s">
        <v>449</v>
      </c>
      <c r="BA150" s="11" t="s">
        <v>871</v>
      </c>
      <c r="BC150" s="40">
        <f t="shared" si="61"/>
        <v>0</v>
      </c>
      <c r="BD150" s="40">
        <f t="shared" si="62"/>
        <v>0</v>
      </c>
      <c r="BE150" s="40">
        <v>0</v>
      </c>
      <c r="BF150" s="40">
        <f>150</f>
        <v>150</v>
      </c>
      <c r="BH150" s="40">
        <f t="shared" si="63"/>
        <v>0</v>
      </c>
      <c r="BI150" s="40">
        <f t="shared" si="64"/>
        <v>0</v>
      </c>
      <c r="BJ150" s="40">
        <f t="shared" si="65"/>
        <v>0</v>
      </c>
      <c r="BK150" s="40"/>
      <c r="BL150" s="40">
        <v>87</v>
      </c>
    </row>
    <row r="151" spans="1:47" ht="15" customHeight="1">
      <c r="A151" s="24" t="s">
        <v>878</v>
      </c>
      <c r="B151" s="66" t="s">
        <v>1338</v>
      </c>
      <c r="C151" s="92" t="s">
        <v>823</v>
      </c>
      <c r="D151" s="92"/>
      <c r="E151" s="92"/>
      <c r="F151" s="92"/>
      <c r="G151" s="3" t="s">
        <v>1172</v>
      </c>
      <c r="H151" s="3" t="s">
        <v>1172</v>
      </c>
      <c r="I151" s="3" t="s">
        <v>1172</v>
      </c>
      <c r="J151" s="63">
        <f>SUM(J152:J186)</f>
        <v>0</v>
      </c>
      <c r="K151" s="63">
        <f>SUM(K152:K186)</f>
        <v>0</v>
      </c>
      <c r="L151" s="63">
        <f>SUM(L152:L186)</f>
        <v>0</v>
      </c>
      <c r="M151" s="4" t="s">
        <v>878</v>
      </c>
      <c r="AI151" s="11" t="s">
        <v>110</v>
      </c>
      <c r="AS151" s="63">
        <f>SUM(AJ152:AJ186)</f>
        <v>0</v>
      </c>
      <c r="AT151" s="63">
        <f>SUM(AK152:AK186)</f>
        <v>0</v>
      </c>
      <c r="AU151" s="63">
        <f>SUM(AL152:AL186)</f>
        <v>0</v>
      </c>
    </row>
    <row r="152" spans="1:64" ht="15" customHeight="1">
      <c r="A152" s="19" t="s">
        <v>61</v>
      </c>
      <c r="B152" s="59" t="s">
        <v>321</v>
      </c>
      <c r="C152" s="76" t="s">
        <v>315</v>
      </c>
      <c r="D152" s="76"/>
      <c r="E152" s="76"/>
      <c r="F152" s="76"/>
      <c r="G152" s="59" t="s">
        <v>1041</v>
      </c>
      <c r="H152" s="40">
        <v>460.5</v>
      </c>
      <c r="I152" s="40">
        <v>0</v>
      </c>
      <c r="J152" s="40">
        <f aca="true" t="shared" si="66" ref="J152:J186">H152*AO152</f>
        <v>0</v>
      </c>
      <c r="K152" s="40">
        <f aca="true" t="shared" si="67" ref="K152:K186">H152*AP152</f>
        <v>0</v>
      </c>
      <c r="L152" s="40">
        <f aca="true" t="shared" si="68" ref="L152:L186">H152*I152</f>
        <v>0</v>
      </c>
      <c r="M152" s="69" t="s">
        <v>868</v>
      </c>
      <c r="Z152" s="40">
        <f aca="true" t="shared" si="69" ref="Z152:Z186">IF(AQ152="5",BJ152,0)</f>
        <v>0</v>
      </c>
      <c r="AB152" s="40">
        <f aca="true" t="shared" si="70" ref="AB152:AB186">IF(AQ152="1",BH152,0)</f>
        <v>0</v>
      </c>
      <c r="AC152" s="40">
        <f aca="true" t="shared" si="71" ref="AC152:AC186">IF(AQ152="1",BI152,0)</f>
        <v>0</v>
      </c>
      <c r="AD152" s="40">
        <f aca="true" t="shared" si="72" ref="AD152:AD186">IF(AQ152="7",BH152,0)</f>
        <v>0</v>
      </c>
      <c r="AE152" s="40">
        <f aca="true" t="shared" si="73" ref="AE152:AE186">IF(AQ152="7",BI152,0)</f>
        <v>0</v>
      </c>
      <c r="AF152" s="40">
        <f aca="true" t="shared" si="74" ref="AF152:AF186">IF(AQ152="2",BH152,0)</f>
        <v>0</v>
      </c>
      <c r="AG152" s="40">
        <f aca="true" t="shared" si="75" ref="AG152:AG186">IF(AQ152="2",BI152,0)</f>
        <v>0</v>
      </c>
      <c r="AH152" s="40">
        <f aca="true" t="shared" si="76" ref="AH152:AH186">IF(AQ152="0",BJ152,0)</f>
        <v>0</v>
      </c>
      <c r="AI152" s="11" t="s">
        <v>110</v>
      </c>
      <c r="AJ152" s="40">
        <f aca="true" t="shared" si="77" ref="AJ152:AJ186">IF(AN152=0,L152,0)</f>
        <v>0</v>
      </c>
      <c r="AK152" s="40">
        <f aca="true" t="shared" si="78" ref="AK152:AK186">IF(AN152=15,L152,0)</f>
        <v>0</v>
      </c>
      <c r="AL152" s="40">
        <f aca="true" t="shared" si="79" ref="AL152:AL186">IF(AN152=21,L152,0)</f>
        <v>0</v>
      </c>
      <c r="AN152" s="40">
        <v>21</v>
      </c>
      <c r="AO152" s="40">
        <f>I152*0.0889830508474576</f>
        <v>0</v>
      </c>
      <c r="AP152" s="40">
        <f>I152*(1-0.0889830508474576)</f>
        <v>0</v>
      </c>
      <c r="AQ152" s="17" t="s">
        <v>1260</v>
      </c>
      <c r="AV152" s="40">
        <f aca="true" t="shared" si="80" ref="AV152:AV186">AW152+AX152</f>
        <v>0</v>
      </c>
      <c r="AW152" s="40">
        <f aca="true" t="shared" si="81" ref="AW152:AW186">H152*AO152</f>
        <v>0</v>
      </c>
      <c r="AX152" s="40">
        <f aca="true" t="shared" si="82" ref="AX152:AX186">H152*AP152</f>
        <v>0</v>
      </c>
      <c r="AY152" s="17" t="s">
        <v>106</v>
      </c>
      <c r="AZ152" s="17" t="s">
        <v>449</v>
      </c>
      <c r="BA152" s="11" t="s">
        <v>871</v>
      </c>
      <c r="BC152" s="40">
        <f aca="true" t="shared" si="83" ref="BC152:BC186">AW152+AX152</f>
        <v>0</v>
      </c>
      <c r="BD152" s="40">
        <f aca="true" t="shared" si="84" ref="BD152:BD186">I152/(100-BE152)*100</f>
        <v>0</v>
      </c>
      <c r="BE152" s="40">
        <v>0</v>
      </c>
      <c r="BF152" s="40">
        <f>152</f>
        <v>152</v>
      </c>
      <c r="BH152" s="40">
        <f aca="true" t="shared" si="85" ref="BH152:BH186">H152*AO152</f>
        <v>0</v>
      </c>
      <c r="BI152" s="40">
        <f aca="true" t="shared" si="86" ref="BI152:BI186">H152*AP152</f>
        <v>0</v>
      </c>
      <c r="BJ152" s="40">
        <f aca="true" t="shared" si="87" ref="BJ152:BJ186">H152*I152</f>
        <v>0</v>
      </c>
      <c r="BK152" s="40"/>
      <c r="BL152" s="40">
        <v>89</v>
      </c>
    </row>
    <row r="153" spans="1:64" ht="15" customHeight="1">
      <c r="A153" s="19" t="s">
        <v>4</v>
      </c>
      <c r="B153" s="59" t="s">
        <v>650</v>
      </c>
      <c r="C153" s="76" t="s">
        <v>141</v>
      </c>
      <c r="D153" s="76"/>
      <c r="E153" s="76"/>
      <c r="F153" s="76"/>
      <c r="G153" s="59" t="s">
        <v>1357</v>
      </c>
      <c r="H153" s="40">
        <v>13</v>
      </c>
      <c r="I153" s="40">
        <v>0</v>
      </c>
      <c r="J153" s="40">
        <f t="shared" si="66"/>
        <v>0</v>
      </c>
      <c r="K153" s="40">
        <f t="shared" si="67"/>
        <v>0</v>
      </c>
      <c r="L153" s="40">
        <f t="shared" si="68"/>
        <v>0</v>
      </c>
      <c r="M153" s="69" t="s">
        <v>868</v>
      </c>
      <c r="Z153" s="40">
        <f t="shared" si="69"/>
        <v>0</v>
      </c>
      <c r="AB153" s="40">
        <f t="shared" si="70"/>
        <v>0</v>
      </c>
      <c r="AC153" s="40">
        <f t="shared" si="71"/>
        <v>0</v>
      </c>
      <c r="AD153" s="40">
        <f t="shared" si="72"/>
        <v>0</v>
      </c>
      <c r="AE153" s="40">
        <f t="shared" si="73"/>
        <v>0</v>
      </c>
      <c r="AF153" s="40">
        <f t="shared" si="74"/>
        <v>0</v>
      </c>
      <c r="AG153" s="40">
        <f t="shared" si="75"/>
        <v>0</v>
      </c>
      <c r="AH153" s="40">
        <f t="shared" si="76"/>
        <v>0</v>
      </c>
      <c r="AI153" s="11" t="s">
        <v>110</v>
      </c>
      <c r="AJ153" s="40">
        <f t="shared" si="77"/>
        <v>0</v>
      </c>
      <c r="AK153" s="40">
        <f t="shared" si="78"/>
        <v>0</v>
      </c>
      <c r="AL153" s="40">
        <f t="shared" si="79"/>
        <v>0</v>
      </c>
      <c r="AN153" s="40">
        <v>21</v>
      </c>
      <c r="AO153" s="40">
        <f>I153*0.100544186046512</f>
        <v>0</v>
      </c>
      <c r="AP153" s="40">
        <f>I153*(1-0.100544186046512)</f>
        <v>0</v>
      </c>
      <c r="AQ153" s="17" t="s">
        <v>1260</v>
      </c>
      <c r="AV153" s="40">
        <f t="shared" si="80"/>
        <v>0</v>
      </c>
      <c r="AW153" s="40">
        <f t="shared" si="81"/>
        <v>0</v>
      </c>
      <c r="AX153" s="40">
        <f t="shared" si="82"/>
        <v>0</v>
      </c>
      <c r="AY153" s="17" t="s">
        <v>106</v>
      </c>
      <c r="AZ153" s="17" t="s">
        <v>449</v>
      </c>
      <c r="BA153" s="11" t="s">
        <v>871</v>
      </c>
      <c r="BC153" s="40">
        <f t="shared" si="83"/>
        <v>0</v>
      </c>
      <c r="BD153" s="40">
        <f t="shared" si="84"/>
        <v>0</v>
      </c>
      <c r="BE153" s="40">
        <v>0</v>
      </c>
      <c r="BF153" s="40">
        <f>153</f>
        <v>153</v>
      </c>
      <c r="BH153" s="40">
        <f t="shared" si="85"/>
        <v>0</v>
      </c>
      <c r="BI153" s="40">
        <f t="shared" si="86"/>
        <v>0</v>
      </c>
      <c r="BJ153" s="40">
        <f t="shared" si="87"/>
        <v>0</v>
      </c>
      <c r="BK153" s="40"/>
      <c r="BL153" s="40">
        <v>89</v>
      </c>
    </row>
    <row r="154" spans="1:64" ht="15" customHeight="1">
      <c r="A154" s="19" t="s">
        <v>1152</v>
      </c>
      <c r="B154" s="59" t="s">
        <v>670</v>
      </c>
      <c r="C154" s="76" t="s">
        <v>338</v>
      </c>
      <c r="D154" s="76"/>
      <c r="E154" s="76"/>
      <c r="F154" s="76"/>
      <c r="G154" s="59" t="s">
        <v>254</v>
      </c>
      <c r="H154" s="40">
        <v>66</v>
      </c>
      <c r="I154" s="40">
        <v>0</v>
      </c>
      <c r="J154" s="40">
        <f t="shared" si="66"/>
        <v>0</v>
      </c>
      <c r="K154" s="40">
        <f t="shared" si="67"/>
        <v>0</v>
      </c>
      <c r="L154" s="40">
        <f t="shared" si="68"/>
        <v>0</v>
      </c>
      <c r="M154" s="69" t="s">
        <v>868</v>
      </c>
      <c r="Z154" s="40">
        <f t="shared" si="69"/>
        <v>0</v>
      </c>
      <c r="AB154" s="40">
        <f t="shared" si="70"/>
        <v>0</v>
      </c>
      <c r="AC154" s="40">
        <f t="shared" si="71"/>
        <v>0</v>
      </c>
      <c r="AD154" s="40">
        <f t="shared" si="72"/>
        <v>0</v>
      </c>
      <c r="AE154" s="40">
        <f t="shared" si="73"/>
        <v>0</v>
      </c>
      <c r="AF154" s="40">
        <f t="shared" si="74"/>
        <v>0</v>
      </c>
      <c r="AG154" s="40">
        <f t="shared" si="75"/>
        <v>0</v>
      </c>
      <c r="AH154" s="40">
        <f t="shared" si="76"/>
        <v>0</v>
      </c>
      <c r="AI154" s="11" t="s">
        <v>110</v>
      </c>
      <c r="AJ154" s="40">
        <f t="shared" si="77"/>
        <v>0</v>
      </c>
      <c r="AK154" s="40">
        <f t="shared" si="78"/>
        <v>0</v>
      </c>
      <c r="AL154" s="40">
        <f t="shared" si="79"/>
        <v>0</v>
      </c>
      <c r="AN154" s="40">
        <v>21</v>
      </c>
      <c r="AO154" s="40">
        <f>I154*0.33300395256917</f>
        <v>0</v>
      </c>
      <c r="AP154" s="40">
        <f>I154*(1-0.33300395256917)</f>
        <v>0</v>
      </c>
      <c r="AQ154" s="17" t="s">
        <v>1260</v>
      </c>
      <c r="AV154" s="40">
        <f t="shared" si="80"/>
        <v>0</v>
      </c>
      <c r="AW154" s="40">
        <f t="shared" si="81"/>
        <v>0</v>
      </c>
      <c r="AX154" s="40">
        <f t="shared" si="82"/>
        <v>0</v>
      </c>
      <c r="AY154" s="17" t="s">
        <v>106</v>
      </c>
      <c r="AZ154" s="17" t="s">
        <v>449</v>
      </c>
      <c r="BA154" s="11" t="s">
        <v>871</v>
      </c>
      <c r="BC154" s="40">
        <f t="shared" si="83"/>
        <v>0</v>
      </c>
      <c r="BD154" s="40">
        <f t="shared" si="84"/>
        <v>0</v>
      </c>
      <c r="BE154" s="40">
        <v>0</v>
      </c>
      <c r="BF154" s="40">
        <f>154</f>
        <v>154</v>
      </c>
      <c r="BH154" s="40">
        <f t="shared" si="85"/>
        <v>0</v>
      </c>
      <c r="BI154" s="40">
        <f t="shared" si="86"/>
        <v>0</v>
      </c>
      <c r="BJ154" s="40">
        <f t="shared" si="87"/>
        <v>0</v>
      </c>
      <c r="BK154" s="40"/>
      <c r="BL154" s="40">
        <v>89</v>
      </c>
    </row>
    <row r="155" spans="1:64" ht="15" customHeight="1">
      <c r="A155" s="19" t="s">
        <v>155</v>
      </c>
      <c r="B155" s="59" t="s">
        <v>192</v>
      </c>
      <c r="C155" s="76" t="s">
        <v>464</v>
      </c>
      <c r="D155" s="76"/>
      <c r="E155" s="76"/>
      <c r="F155" s="76"/>
      <c r="G155" s="59" t="s">
        <v>1041</v>
      </c>
      <c r="H155" s="40">
        <v>1013.1</v>
      </c>
      <c r="I155" s="40">
        <v>0</v>
      </c>
      <c r="J155" s="40">
        <f t="shared" si="66"/>
        <v>0</v>
      </c>
      <c r="K155" s="40">
        <f t="shared" si="67"/>
        <v>0</v>
      </c>
      <c r="L155" s="40">
        <f t="shared" si="68"/>
        <v>0</v>
      </c>
      <c r="M155" s="69" t="s">
        <v>868</v>
      </c>
      <c r="Z155" s="40">
        <f t="shared" si="69"/>
        <v>0</v>
      </c>
      <c r="AB155" s="40">
        <f t="shared" si="70"/>
        <v>0</v>
      </c>
      <c r="AC155" s="40">
        <f t="shared" si="71"/>
        <v>0</v>
      </c>
      <c r="AD155" s="40">
        <f t="shared" si="72"/>
        <v>0</v>
      </c>
      <c r="AE155" s="40">
        <f t="shared" si="73"/>
        <v>0</v>
      </c>
      <c r="AF155" s="40">
        <f t="shared" si="74"/>
        <v>0</v>
      </c>
      <c r="AG155" s="40">
        <f t="shared" si="75"/>
        <v>0</v>
      </c>
      <c r="AH155" s="40">
        <f t="shared" si="76"/>
        <v>0</v>
      </c>
      <c r="AI155" s="11" t="s">
        <v>110</v>
      </c>
      <c r="AJ155" s="40">
        <f t="shared" si="77"/>
        <v>0</v>
      </c>
      <c r="AK155" s="40">
        <f t="shared" si="78"/>
        <v>0</v>
      </c>
      <c r="AL155" s="40">
        <f t="shared" si="79"/>
        <v>0</v>
      </c>
      <c r="AN155" s="40">
        <v>21</v>
      </c>
      <c r="AO155" s="40">
        <f>I155*0.322424242424242</f>
        <v>0</v>
      </c>
      <c r="AP155" s="40">
        <f>I155*(1-0.322424242424242)</f>
        <v>0</v>
      </c>
      <c r="AQ155" s="17" t="s">
        <v>1260</v>
      </c>
      <c r="AV155" s="40">
        <f t="shared" si="80"/>
        <v>0</v>
      </c>
      <c r="AW155" s="40">
        <f t="shared" si="81"/>
        <v>0</v>
      </c>
      <c r="AX155" s="40">
        <f t="shared" si="82"/>
        <v>0</v>
      </c>
      <c r="AY155" s="17" t="s">
        <v>106</v>
      </c>
      <c r="AZ155" s="17" t="s">
        <v>449</v>
      </c>
      <c r="BA155" s="11" t="s">
        <v>871</v>
      </c>
      <c r="BC155" s="40">
        <f t="shared" si="83"/>
        <v>0</v>
      </c>
      <c r="BD155" s="40">
        <f t="shared" si="84"/>
        <v>0</v>
      </c>
      <c r="BE155" s="40">
        <v>0</v>
      </c>
      <c r="BF155" s="40">
        <f>155</f>
        <v>155</v>
      </c>
      <c r="BH155" s="40">
        <f t="shared" si="85"/>
        <v>0</v>
      </c>
      <c r="BI155" s="40">
        <f t="shared" si="86"/>
        <v>0</v>
      </c>
      <c r="BJ155" s="40">
        <f t="shared" si="87"/>
        <v>0</v>
      </c>
      <c r="BK155" s="40"/>
      <c r="BL155" s="40">
        <v>89</v>
      </c>
    </row>
    <row r="156" spans="1:64" ht="15" customHeight="1">
      <c r="A156" s="19" t="s">
        <v>488</v>
      </c>
      <c r="B156" s="59" t="s">
        <v>386</v>
      </c>
      <c r="C156" s="76" t="s">
        <v>324</v>
      </c>
      <c r="D156" s="76"/>
      <c r="E156" s="76"/>
      <c r="F156" s="76"/>
      <c r="G156" s="59" t="s">
        <v>1041</v>
      </c>
      <c r="H156" s="40">
        <v>460.5</v>
      </c>
      <c r="I156" s="40">
        <v>0</v>
      </c>
      <c r="J156" s="40">
        <f t="shared" si="66"/>
        <v>0</v>
      </c>
      <c r="K156" s="40">
        <f t="shared" si="67"/>
        <v>0</v>
      </c>
      <c r="L156" s="40">
        <f t="shared" si="68"/>
        <v>0</v>
      </c>
      <c r="M156" s="69" t="s">
        <v>868</v>
      </c>
      <c r="Z156" s="40">
        <f t="shared" si="69"/>
        <v>0</v>
      </c>
      <c r="AB156" s="40">
        <f t="shared" si="70"/>
        <v>0</v>
      </c>
      <c r="AC156" s="40">
        <f t="shared" si="71"/>
        <v>0</v>
      </c>
      <c r="AD156" s="40">
        <f t="shared" si="72"/>
        <v>0</v>
      </c>
      <c r="AE156" s="40">
        <f t="shared" si="73"/>
        <v>0</v>
      </c>
      <c r="AF156" s="40">
        <f t="shared" si="74"/>
        <v>0</v>
      </c>
      <c r="AG156" s="40">
        <f t="shared" si="75"/>
        <v>0</v>
      </c>
      <c r="AH156" s="40">
        <f t="shared" si="76"/>
        <v>0</v>
      </c>
      <c r="AI156" s="11" t="s">
        <v>110</v>
      </c>
      <c r="AJ156" s="40">
        <f t="shared" si="77"/>
        <v>0</v>
      </c>
      <c r="AK156" s="40">
        <f t="shared" si="78"/>
        <v>0</v>
      </c>
      <c r="AL156" s="40">
        <f t="shared" si="79"/>
        <v>0</v>
      </c>
      <c r="AN156" s="40">
        <v>21</v>
      </c>
      <c r="AO156" s="40">
        <f>I156*0</f>
        <v>0</v>
      </c>
      <c r="AP156" s="40">
        <f>I156*(1-0)</f>
        <v>0</v>
      </c>
      <c r="AQ156" s="17" t="s">
        <v>1260</v>
      </c>
      <c r="AV156" s="40">
        <f t="shared" si="80"/>
        <v>0</v>
      </c>
      <c r="AW156" s="40">
        <f t="shared" si="81"/>
        <v>0</v>
      </c>
      <c r="AX156" s="40">
        <f t="shared" si="82"/>
        <v>0</v>
      </c>
      <c r="AY156" s="17" t="s">
        <v>106</v>
      </c>
      <c r="AZ156" s="17" t="s">
        <v>449</v>
      </c>
      <c r="BA156" s="11" t="s">
        <v>871</v>
      </c>
      <c r="BC156" s="40">
        <f t="shared" si="83"/>
        <v>0</v>
      </c>
      <c r="BD156" s="40">
        <f t="shared" si="84"/>
        <v>0</v>
      </c>
      <c r="BE156" s="40">
        <v>0</v>
      </c>
      <c r="BF156" s="40">
        <f>156</f>
        <v>156</v>
      </c>
      <c r="BH156" s="40">
        <f t="shared" si="85"/>
        <v>0</v>
      </c>
      <c r="BI156" s="40">
        <f t="shared" si="86"/>
        <v>0</v>
      </c>
      <c r="BJ156" s="40">
        <f t="shared" si="87"/>
        <v>0</v>
      </c>
      <c r="BK156" s="40"/>
      <c r="BL156" s="40">
        <v>89</v>
      </c>
    </row>
    <row r="157" spans="1:64" ht="15" customHeight="1">
      <c r="A157" s="19" t="s">
        <v>703</v>
      </c>
      <c r="B157" s="59" t="s">
        <v>393</v>
      </c>
      <c r="C157" s="76" t="s">
        <v>1071</v>
      </c>
      <c r="D157" s="76"/>
      <c r="E157" s="76"/>
      <c r="F157" s="76"/>
      <c r="G157" s="59" t="s">
        <v>312</v>
      </c>
      <c r="H157" s="40">
        <v>16</v>
      </c>
      <c r="I157" s="40">
        <v>0</v>
      </c>
      <c r="J157" s="40">
        <f t="shared" si="66"/>
        <v>0</v>
      </c>
      <c r="K157" s="40">
        <f t="shared" si="67"/>
        <v>0</v>
      </c>
      <c r="L157" s="40">
        <f t="shared" si="68"/>
        <v>0</v>
      </c>
      <c r="M157" s="69" t="s">
        <v>868</v>
      </c>
      <c r="Z157" s="40">
        <f t="shared" si="69"/>
        <v>0</v>
      </c>
      <c r="AB157" s="40">
        <f t="shared" si="70"/>
        <v>0</v>
      </c>
      <c r="AC157" s="40">
        <f t="shared" si="71"/>
        <v>0</v>
      </c>
      <c r="AD157" s="40">
        <f t="shared" si="72"/>
        <v>0</v>
      </c>
      <c r="AE157" s="40">
        <f t="shared" si="73"/>
        <v>0</v>
      </c>
      <c r="AF157" s="40">
        <f t="shared" si="74"/>
        <v>0</v>
      </c>
      <c r="AG157" s="40">
        <f t="shared" si="75"/>
        <v>0</v>
      </c>
      <c r="AH157" s="40">
        <f t="shared" si="76"/>
        <v>0</v>
      </c>
      <c r="AI157" s="11" t="s">
        <v>110</v>
      </c>
      <c r="AJ157" s="40">
        <f t="shared" si="77"/>
        <v>0</v>
      </c>
      <c r="AK157" s="40">
        <f t="shared" si="78"/>
        <v>0</v>
      </c>
      <c r="AL157" s="40">
        <f t="shared" si="79"/>
        <v>0</v>
      </c>
      <c r="AN157" s="40">
        <v>21</v>
      </c>
      <c r="AO157" s="40">
        <f>I157*0</f>
        <v>0</v>
      </c>
      <c r="AP157" s="40">
        <f>I157*(1-0)</f>
        <v>0</v>
      </c>
      <c r="AQ157" s="17" t="s">
        <v>1260</v>
      </c>
      <c r="AV157" s="40">
        <f t="shared" si="80"/>
        <v>0</v>
      </c>
      <c r="AW157" s="40">
        <f t="shared" si="81"/>
        <v>0</v>
      </c>
      <c r="AX157" s="40">
        <f t="shared" si="82"/>
        <v>0</v>
      </c>
      <c r="AY157" s="17" t="s">
        <v>106</v>
      </c>
      <c r="AZ157" s="17" t="s">
        <v>449</v>
      </c>
      <c r="BA157" s="11" t="s">
        <v>871</v>
      </c>
      <c r="BC157" s="40">
        <f t="shared" si="83"/>
        <v>0</v>
      </c>
      <c r="BD157" s="40">
        <f t="shared" si="84"/>
        <v>0</v>
      </c>
      <c r="BE157" s="40">
        <v>0</v>
      </c>
      <c r="BF157" s="40">
        <f>157</f>
        <v>157</v>
      </c>
      <c r="BH157" s="40">
        <f t="shared" si="85"/>
        <v>0</v>
      </c>
      <c r="BI157" s="40">
        <f t="shared" si="86"/>
        <v>0</v>
      </c>
      <c r="BJ157" s="40">
        <f t="shared" si="87"/>
        <v>0</v>
      </c>
      <c r="BK157" s="40"/>
      <c r="BL157" s="40">
        <v>89</v>
      </c>
    </row>
    <row r="158" spans="1:64" ht="15" customHeight="1">
      <c r="A158" s="19" t="s">
        <v>153</v>
      </c>
      <c r="B158" s="59" t="s">
        <v>900</v>
      </c>
      <c r="C158" s="76" t="s">
        <v>1272</v>
      </c>
      <c r="D158" s="76"/>
      <c r="E158" s="76"/>
      <c r="F158" s="76"/>
      <c r="G158" s="59" t="s">
        <v>312</v>
      </c>
      <c r="H158" s="40">
        <v>15</v>
      </c>
      <c r="I158" s="40">
        <v>0</v>
      </c>
      <c r="J158" s="40">
        <f t="shared" si="66"/>
        <v>0</v>
      </c>
      <c r="K158" s="40">
        <f t="shared" si="67"/>
        <v>0</v>
      </c>
      <c r="L158" s="40">
        <f t="shared" si="68"/>
        <v>0</v>
      </c>
      <c r="M158" s="69" t="s">
        <v>868</v>
      </c>
      <c r="Z158" s="40">
        <f t="shared" si="69"/>
        <v>0</v>
      </c>
      <c r="AB158" s="40">
        <f t="shared" si="70"/>
        <v>0</v>
      </c>
      <c r="AC158" s="40">
        <f t="shared" si="71"/>
        <v>0</v>
      </c>
      <c r="AD158" s="40">
        <f t="shared" si="72"/>
        <v>0</v>
      </c>
      <c r="AE158" s="40">
        <f t="shared" si="73"/>
        <v>0</v>
      </c>
      <c r="AF158" s="40">
        <f t="shared" si="74"/>
        <v>0</v>
      </c>
      <c r="AG158" s="40">
        <f t="shared" si="75"/>
        <v>0</v>
      </c>
      <c r="AH158" s="40">
        <f t="shared" si="76"/>
        <v>0</v>
      </c>
      <c r="AI158" s="11" t="s">
        <v>110</v>
      </c>
      <c r="AJ158" s="40">
        <f t="shared" si="77"/>
        <v>0</v>
      </c>
      <c r="AK158" s="40">
        <f t="shared" si="78"/>
        <v>0</v>
      </c>
      <c r="AL158" s="40">
        <f t="shared" si="79"/>
        <v>0</v>
      </c>
      <c r="AN158" s="40">
        <v>21</v>
      </c>
      <c r="AO158" s="40">
        <f>I158*1</f>
        <v>0</v>
      </c>
      <c r="AP158" s="40">
        <f>I158*(1-1)</f>
        <v>0</v>
      </c>
      <c r="AQ158" s="17" t="s">
        <v>1260</v>
      </c>
      <c r="AV158" s="40">
        <f t="shared" si="80"/>
        <v>0</v>
      </c>
      <c r="AW158" s="40">
        <f t="shared" si="81"/>
        <v>0</v>
      </c>
      <c r="AX158" s="40">
        <f t="shared" si="82"/>
        <v>0</v>
      </c>
      <c r="AY158" s="17" t="s">
        <v>106</v>
      </c>
      <c r="AZ158" s="17" t="s">
        <v>449</v>
      </c>
      <c r="BA158" s="11" t="s">
        <v>871</v>
      </c>
      <c r="BC158" s="40">
        <f t="shared" si="83"/>
        <v>0</v>
      </c>
      <c r="BD158" s="40">
        <f t="shared" si="84"/>
        <v>0</v>
      </c>
      <c r="BE158" s="40">
        <v>0</v>
      </c>
      <c r="BF158" s="40">
        <f>158</f>
        <v>158</v>
      </c>
      <c r="BH158" s="40">
        <f t="shared" si="85"/>
        <v>0</v>
      </c>
      <c r="BI158" s="40">
        <f t="shared" si="86"/>
        <v>0</v>
      </c>
      <c r="BJ158" s="40">
        <f t="shared" si="87"/>
        <v>0</v>
      </c>
      <c r="BK158" s="40"/>
      <c r="BL158" s="40">
        <v>89</v>
      </c>
    </row>
    <row r="159" spans="1:64" ht="15" customHeight="1">
      <c r="A159" s="19" t="s">
        <v>892</v>
      </c>
      <c r="B159" s="59" t="s">
        <v>1072</v>
      </c>
      <c r="C159" s="76" t="s">
        <v>510</v>
      </c>
      <c r="D159" s="76"/>
      <c r="E159" s="76"/>
      <c r="F159" s="76"/>
      <c r="G159" s="59" t="s">
        <v>312</v>
      </c>
      <c r="H159" s="40">
        <v>42</v>
      </c>
      <c r="I159" s="40">
        <v>0</v>
      </c>
      <c r="J159" s="40">
        <f t="shared" si="66"/>
        <v>0</v>
      </c>
      <c r="K159" s="40">
        <f t="shared" si="67"/>
        <v>0</v>
      </c>
      <c r="L159" s="40">
        <f t="shared" si="68"/>
        <v>0</v>
      </c>
      <c r="M159" s="69" t="s">
        <v>868</v>
      </c>
      <c r="Z159" s="40">
        <f t="shared" si="69"/>
        <v>0</v>
      </c>
      <c r="AB159" s="40">
        <f t="shared" si="70"/>
        <v>0</v>
      </c>
      <c r="AC159" s="40">
        <f t="shared" si="71"/>
        <v>0</v>
      </c>
      <c r="AD159" s="40">
        <f t="shared" si="72"/>
        <v>0</v>
      </c>
      <c r="AE159" s="40">
        <f t="shared" si="73"/>
        <v>0</v>
      </c>
      <c r="AF159" s="40">
        <f t="shared" si="74"/>
        <v>0</v>
      </c>
      <c r="AG159" s="40">
        <f t="shared" si="75"/>
        <v>0</v>
      </c>
      <c r="AH159" s="40">
        <f t="shared" si="76"/>
        <v>0</v>
      </c>
      <c r="AI159" s="11" t="s">
        <v>110</v>
      </c>
      <c r="AJ159" s="40">
        <f t="shared" si="77"/>
        <v>0</v>
      </c>
      <c r="AK159" s="40">
        <f t="shared" si="78"/>
        <v>0</v>
      </c>
      <c r="AL159" s="40">
        <f t="shared" si="79"/>
        <v>0</v>
      </c>
      <c r="AN159" s="40">
        <v>21</v>
      </c>
      <c r="AO159" s="40">
        <f>I159*0</f>
        <v>0</v>
      </c>
      <c r="AP159" s="40">
        <f>I159*(1-0)</f>
        <v>0</v>
      </c>
      <c r="AQ159" s="17" t="s">
        <v>1260</v>
      </c>
      <c r="AV159" s="40">
        <f t="shared" si="80"/>
        <v>0</v>
      </c>
      <c r="AW159" s="40">
        <f t="shared" si="81"/>
        <v>0</v>
      </c>
      <c r="AX159" s="40">
        <f t="shared" si="82"/>
        <v>0</v>
      </c>
      <c r="AY159" s="17" t="s">
        <v>106</v>
      </c>
      <c r="AZ159" s="17" t="s">
        <v>449</v>
      </c>
      <c r="BA159" s="11" t="s">
        <v>871</v>
      </c>
      <c r="BC159" s="40">
        <f t="shared" si="83"/>
        <v>0</v>
      </c>
      <c r="BD159" s="40">
        <f t="shared" si="84"/>
        <v>0</v>
      </c>
      <c r="BE159" s="40">
        <v>0</v>
      </c>
      <c r="BF159" s="40">
        <f>159</f>
        <v>159</v>
      </c>
      <c r="BH159" s="40">
        <f t="shared" si="85"/>
        <v>0</v>
      </c>
      <c r="BI159" s="40">
        <f t="shared" si="86"/>
        <v>0</v>
      </c>
      <c r="BJ159" s="40">
        <f t="shared" si="87"/>
        <v>0</v>
      </c>
      <c r="BK159" s="40"/>
      <c r="BL159" s="40">
        <v>89</v>
      </c>
    </row>
    <row r="160" spans="1:64" ht="15" customHeight="1">
      <c r="A160" s="19" t="s">
        <v>578</v>
      </c>
      <c r="B160" s="59" t="s">
        <v>681</v>
      </c>
      <c r="C160" s="76" t="s">
        <v>1088</v>
      </c>
      <c r="D160" s="76"/>
      <c r="E160" s="76"/>
      <c r="F160" s="76"/>
      <c r="G160" s="59" t="s">
        <v>312</v>
      </c>
      <c r="H160" s="40">
        <v>4</v>
      </c>
      <c r="I160" s="40">
        <v>0</v>
      </c>
      <c r="J160" s="40">
        <f t="shared" si="66"/>
        <v>0</v>
      </c>
      <c r="K160" s="40">
        <f t="shared" si="67"/>
        <v>0</v>
      </c>
      <c r="L160" s="40">
        <f t="shared" si="68"/>
        <v>0</v>
      </c>
      <c r="M160" s="69" t="s">
        <v>868</v>
      </c>
      <c r="Z160" s="40">
        <f t="shared" si="69"/>
        <v>0</v>
      </c>
      <c r="AB160" s="40">
        <f t="shared" si="70"/>
        <v>0</v>
      </c>
      <c r="AC160" s="40">
        <f t="shared" si="71"/>
        <v>0</v>
      </c>
      <c r="AD160" s="40">
        <f t="shared" si="72"/>
        <v>0</v>
      </c>
      <c r="AE160" s="40">
        <f t="shared" si="73"/>
        <v>0</v>
      </c>
      <c r="AF160" s="40">
        <f t="shared" si="74"/>
        <v>0</v>
      </c>
      <c r="AG160" s="40">
        <f t="shared" si="75"/>
        <v>0</v>
      </c>
      <c r="AH160" s="40">
        <f t="shared" si="76"/>
        <v>0</v>
      </c>
      <c r="AI160" s="11" t="s">
        <v>110</v>
      </c>
      <c r="AJ160" s="40">
        <f t="shared" si="77"/>
        <v>0</v>
      </c>
      <c r="AK160" s="40">
        <f t="shared" si="78"/>
        <v>0</v>
      </c>
      <c r="AL160" s="40">
        <f t="shared" si="79"/>
        <v>0</v>
      </c>
      <c r="AN160" s="40">
        <v>21</v>
      </c>
      <c r="AO160" s="40">
        <f aca="true" t="shared" si="88" ref="AO160:AO165">I160*1</f>
        <v>0</v>
      </c>
      <c r="AP160" s="40">
        <f aca="true" t="shared" si="89" ref="AP160:AP165">I160*(1-1)</f>
        <v>0</v>
      </c>
      <c r="AQ160" s="17" t="s">
        <v>1260</v>
      </c>
      <c r="AV160" s="40">
        <f t="shared" si="80"/>
        <v>0</v>
      </c>
      <c r="AW160" s="40">
        <f t="shared" si="81"/>
        <v>0</v>
      </c>
      <c r="AX160" s="40">
        <f t="shared" si="82"/>
        <v>0</v>
      </c>
      <c r="AY160" s="17" t="s">
        <v>106</v>
      </c>
      <c r="AZ160" s="17" t="s">
        <v>449</v>
      </c>
      <c r="BA160" s="11" t="s">
        <v>871</v>
      </c>
      <c r="BC160" s="40">
        <f t="shared" si="83"/>
        <v>0</v>
      </c>
      <c r="BD160" s="40">
        <f t="shared" si="84"/>
        <v>0</v>
      </c>
      <c r="BE160" s="40">
        <v>0</v>
      </c>
      <c r="BF160" s="40">
        <f>160</f>
        <v>160</v>
      </c>
      <c r="BH160" s="40">
        <f t="shared" si="85"/>
        <v>0</v>
      </c>
      <c r="BI160" s="40">
        <f t="shared" si="86"/>
        <v>0</v>
      </c>
      <c r="BJ160" s="40">
        <f t="shared" si="87"/>
        <v>0</v>
      </c>
      <c r="BK160" s="40"/>
      <c r="BL160" s="40">
        <v>89</v>
      </c>
    </row>
    <row r="161" spans="1:64" ht="15" customHeight="1">
      <c r="A161" s="19" t="s">
        <v>1031</v>
      </c>
      <c r="B161" s="59" t="s">
        <v>924</v>
      </c>
      <c r="C161" s="76" t="s">
        <v>1186</v>
      </c>
      <c r="D161" s="76"/>
      <c r="E161" s="76"/>
      <c r="F161" s="76"/>
      <c r="G161" s="59" t="s">
        <v>312</v>
      </c>
      <c r="H161" s="40">
        <v>20</v>
      </c>
      <c r="I161" s="40">
        <v>0</v>
      </c>
      <c r="J161" s="40">
        <f t="shared" si="66"/>
        <v>0</v>
      </c>
      <c r="K161" s="40">
        <f t="shared" si="67"/>
        <v>0</v>
      </c>
      <c r="L161" s="40">
        <f t="shared" si="68"/>
        <v>0</v>
      </c>
      <c r="M161" s="69" t="s">
        <v>868</v>
      </c>
      <c r="Z161" s="40">
        <f t="shared" si="69"/>
        <v>0</v>
      </c>
      <c r="AB161" s="40">
        <f t="shared" si="70"/>
        <v>0</v>
      </c>
      <c r="AC161" s="40">
        <f t="shared" si="71"/>
        <v>0</v>
      </c>
      <c r="AD161" s="40">
        <f t="shared" si="72"/>
        <v>0</v>
      </c>
      <c r="AE161" s="40">
        <f t="shared" si="73"/>
        <v>0</v>
      </c>
      <c r="AF161" s="40">
        <f t="shared" si="74"/>
        <v>0</v>
      </c>
      <c r="AG161" s="40">
        <f t="shared" si="75"/>
        <v>0</v>
      </c>
      <c r="AH161" s="40">
        <f t="shared" si="76"/>
        <v>0</v>
      </c>
      <c r="AI161" s="11" t="s">
        <v>110</v>
      </c>
      <c r="AJ161" s="40">
        <f t="shared" si="77"/>
        <v>0</v>
      </c>
      <c r="AK161" s="40">
        <f t="shared" si="78"/>
        <v>0</v>
      </c>
      <c r="AL161" s="40">
        <f t="shared" si="79"/>
        <v>0</v>
      </c>
      <c r="AN161" s="40">
        <v>21</v>
      </c>
      <c r="AO161" s="40">
        <f t="shared" si="88"/>
        <v>0</v>
      </c>
      <c r="AP161" s="40">
        <f t="shared" si="89"/>
        <v>0</v>
      </c>
      <c r="AQ161" s="17" t="s">
        <v>1260</v>
      </c>
      <c r="AV161" s="40">
        <f t="shared" si="80"/>
        <v>0</v>
      </c>
      <c r="AW161" s="40">
        <f t="shared" si="81"/>
        <v>0</v>
      </c>
      <c r="AX161" s="40">
        <f t="shared" si="82"/>
        <v>0</v>
      </c>
      <c r="AY161" s="17" t="s">
        <v>106</v>
      </c>
      <c r="AZ161" s="17" t="s">
        <v>449</v>
      </c>
      <c r="BA161" s="11" t="s">
        <v>871</v>
      </c>
      <c r="BC161" s="40">
        <f t="shared" si="83"/>
        <v>0</v>
      </c>
      <c r="BD161" s="40">
        <f t="shared" si="84"/>
        <v>0</v>
      </c>
      <c r="BE161" s="40">
        <v>0</v>
      </c>
      <c r="BF161" s="40">
        <f>161</f>
        <v>161</v>
      </c>
      <c r="BH161" s="40">
        <f t="shared" si="85"/>
        <v>0</v>
      </c>
      <c r="BI161" s="40">
        <f t="shared" si="86"/>
        <v>0</v>
      </c>
      <c r="BJ161" s="40">
        <f t="shared" si="87"/>
        <v>0</v>
      </c>
      <c r="BK161" s="40"/>
      <c r="BL161" s="40">
        <v>89</v>
      </c>
    </row>
    <row r="162" spans="1:64" ht="15" customHeight="1">
      <c r="A162" s="19" t="s">
        <v>1163</v>
      </c>
      <c r="B162" s="59" t="s">
        <v>1256</v>
      </c>
      <c r="C162" s="76" t="s">
        <v>265</v>
      </c>
      <c r="D162" s="76"/>
      <c r="E162" s="76"/>
      <c r="F162" s="76"/>
      <c r="G162" s="59" t="s">
        <v>312</v>
      </c>
      <c r="H162" s="40">
        <v>1</v>
      </c>
      <c r="I162" s="40">
        <v>0</v>
      </c>
      <c r="J162" s="40">
        <f t="shared" si="66"/>
        <v>0</v>
      </c>
      <c r="K162" s="40">
        <f t="shared" si="67"/>
        <v>0</v>
      </c>
      <c r="L162" s="40">
        <f t="shared" si="68"/>
        <v>0</v>
      </c>
      <c r="M162" s="69" t="s">
        <v>868</v>
      </c>
      <c r="Z162" s="40">
        <f t="shared" si="69"/>
        <v>0</v>
      </c>
      <c r="AB162" s="40">
        <f t="shared" si="70"/>
        <v>0</v>
      </c>
      <c r="AC162" s="40">
        <f t="shared" si="71"/>
        <v>0</v>
      </c>
      <c r="AD162" s="40">
        <f t="shared" si="72"/>
        <v>0</v>
      </c>
      <c r="AE162" s="40">
        <f t="shared" si="73"/>
        <v>0</v>
      </c>
      <c r="AF162" s="40">
        <f t="shared" si="74"/>
        <v>0</v>
      </c>
      <c r="AG162" s="40">
        <f t="shared" si="75"/>
        <v>0</v>
      </c>
      <c r="AH162" s="40">
        <f t="shared" si="76"/>
        <v>0</v>
      </c>
      <c r="AI162" s="11" t="s">
        <v>110</v>
      </c>
      <c r="AJ162" s="40">
        <f t="shared" si="77"/>
        <v>0</v>
      </c>
      <c r="AK162" s="40">
        <f t="shared" si="78"/>
        <v>0</v>
      </c>
      <c r="AL162" s="40">
        <f t="shared" si="79"/>
        <v>0</v>
      </c>
      <c r="AN162" s="40">
        <v>21</v>
      </c>
      <c r="AO162" s="40">
        <f t="shared" si="88"/>
        <v>0</v>
      </c>
      <c r="AP162" s="40">
        <f t="shared" si="89"/>
        <v>0</v>
      </c>
      <c r="AQ162" s="17" t="s">
        <v>1260</v>
      </c>
      <c r="AV162" s="40">
        <f t="shared" si="80"/>
        <v>0</v>
      </c>
      <c r="AW162" s="40">
        <f t="shared" si="81"/>
        <v>0</v>
      </c>
      <c r="AX162" s="40">
        <f t="shared" si="82"/>
        <v>0</v>
      </c>
      <c r="AY162" s="17" t="s">
        <v>106</v>
      </c>
      <c r="AZ162" s="17" t="s">
        <v>449</v>
      </c>
      <c r="BA162" s="11" t="s">
        <v>871</v>
      </c>
      <c r="BC162" s="40">
        <f t="shared" si="83"/>
        <v>0</v>
      </c>
      <c r="BD162" s="40">
        <f t="shared" si="84"/>
        <v>0</v>
      </c>
      <c r="BE162" s="40">
        <v>0</v>
      </c>
      <c r="BF162" s="40">
        <f>162</f>
        <v>162</v>
      </c>
      <c r="BH162" s="40">
        <f t="shared" si="85"/>
        <v>0</v>
      </c>
      <c r="BI162" s="40">
        <f t="shared" si="86"/>
        <v>0</v>
      </c>
      <c r="BJ162" s="40">
        <f t="shared" si="87"/>
        <v>0</v>
      </c>
      <c r="BK162" s="40"/>
      <c r="BL162" s="40">
        <v>89</v>
      </c>
    </row>
    <row r="163" spans="1:64" ht="15" customHeight="1">
      <c r="A163" s="19" t="s">
        <v>1098</v>
      </c>
      <c r="B163" s="59" t="s">
        <v>49</v>
      </c>
      <c r="C163" s="76" t="s">
        <v>323</v>
      </c>
      <c r="D163" s="76"/>
      <c r="E163" s="76"/>
      <c r="F163" s="76"/>
      <c r="G163" s="59" t="s">
        <v>312</v>
      </c>
      <c r="H163" s="40">
        <v>2</v>
      </c>
      <c r="I163" s="40">
        <v>0</v>
      </c>
      <c r="J163" s="40">
        <f t="shared" si="66"/>
        <v>0</v>
      </c>
      <c r="K163" s="40">
        <f t="shared" si="67"/>
        <v>0</v>
      </c>
      <c r="L163" s="40">
        <f t="shared" si="68"/>
        <v>0</v>
      </c>
      <c r="M163" s="69" t="s">
        <v>868</v>
      </c>
      <c r="Z163" s="40">
        <f t="shared" si="69"/>
        <v>0</v>
      </c>
      <c r="AB163" s="40">
        <f t="shared" si="70"/>
        <v>0</v>
      </c>
      <c r="AC163" s="40">
        <f t="shared" si="71"/>
        <v>0</v>
      </c>
      <c r="AD163" s="40">
        <f t="shared" si="72"/>
        <v>0</v>
      </c>
      <c r="AE163" s="40">
        <f t="shared" si="73"/>
        <v>0</v>
      </c>
      <c r="AF163" s="40">
        <f t="shared" si="74"/>
        <v>0</v>
      </c>
      <c r="AG163" s="40">
        <f t="shared" si="75"/>
        <v>0</v>
      </c>
      <c r="AH163" s="40">
        <f t="shared" si="76"/>
        <v>0</v>
      </c>
      <c r="AI163" s="11" t="s">
        <v>110</v>
      </c>
      <c r="AJ163" s="40">
        <f t="shared" si="77"/>
        <v>0</v>
      </c>
      <c r="AK163" s="40">
        <f t="shared" si="78"/>
        <v>0</v>
      </c>
      <c r="AL163" s="40">
        <f t="shared" si="79"/>
        <v>0</v>
      </c>
      <c r="AN163" s="40">
        <v>21</v>
      </c>
      <c r="AO163" s="40">
        <f t="shared" si="88"/>
        <v>0</v>
      </c>
      <c r="AP163" s="40">
        <f t="shared" si="89"/>
        <v>0</v>
      </c>
      <c r="AQ163" s="17" t="s">
        <v>1260</v>
      </c>
      <c r="AV163" s="40">
        <f t="shared" si="80"/>
        <v>0</v>
      </c>
      <c r="AW163" s="40">
        <f t="shared" si="81"/>
        <v>0</v>
      </c>
      <c r="AX163" s="40">
        <f t="shared" si="82"/>
        <v>0</v>
      </c>
      <c r="AY163" s="17" t="s">
        <v>106</v>
      </c>
      <c r="AZ163" s="17" t="s">
        <v>449</v>
      </c>
      <c r="BA163" s="11" t="s">
        <v>871</v>
      </c>
      <c r="BC163" s="40">
        <f t="shared" si="83"/>
        <v>0</v>
      </c>
      <c r="BD163" s="40">
        <f t="shared" si="84"/>
        <v>0</v>
      </c>
      <c r="BE163" s="40">
        <v>0</v>
      </c>
      <c r="BF163" s="40">
        <f>163</f>
        <v>163</v>
      </c>
      <c r="BH163" s="40">
        <f t="shared" si="85"/>
        <v>0</v>
      </c>
      <c r="BI163" s="40">
        <f t="shared" si="86"/>
        <v>0</v>
      </c>
      <c r="BJ163" s="40">
        <f t="shared" si="87"/>
        <v>0</v>
      </c>
      <c r="BK163" s="40"/>
      <c r="BL163" s="40">
        <v>89</v>
      </c>
    </row>
    <row r="164" spans="1:64" ht="15" customHeight="1">
      <c r="A164" s="19" t="s">
        <v>42</v>
      </c>
      <c r="B164" s="59" t="s">
        <v>673</v>
      </c>
      <c r="C164" s="76" t="s">
        <v>821</v>
      </c>
      <c r="D164" s="76"/>
      <c r="E164" s="76"/>
      <c r="F164" s="76"/>
      <c r="G164" s="59" t="s">
        <v>312</v>
      </c>
      <c r="H164" s="40">
        <v>3</v>
      </c>
      <c r="I164" s="40">
        <v>0</v>
      </c>
      <c r="J164" s="40">
        <f t="shared" si="66"/>
        <v>0</v>
      </c>
      <c r="K164" s="40">
        <f t="shared" si="67"/>
        <v>0</v>
      </c>
      <c r="L164" s="40">
        <f t="shared" si="68"/>
        <v>0</v>
      </c>
      <c r="M164" s="69" t="s">
        <v>868</v>
      </c>
      <c r="Z164" s="40">
        <f t="shared" si="69"/>
        <v>0</v>
      </c>
      <c r="AB164" s="40">
        <f t="shared" si="70"/>
        <v>0</v>
      </c>
      <c r="AC164" s="40">
        <f t="shared" si="71"/>
        <v>0</v>
      </c>
      <c r="AD164" s="40">
        <f t="shared" si="72"/>
        <v>0</v>
      </c>
      <c r="AE164" s="40">
        <f t="shared" si="73"/>
        <v>0</v>
      </c>
      <c r="AF164" s="40">
        <f t="shared" si="74"/>
        <v>0</v>
      </c>
      <c r="AG164" s="40">
        <f t="shared" si="75"/>
        <v>0</v>
      </c>
      <c r="AH164" s="40">
        <f t="shared" si="76"/>
        <v>0</v>
      </c>
      <c r="AI164" s="11" t="s">
        <v>110</v>
      </c>
      <c r="AJ164" s="40">
        <f t="shared" si="77"/>
        <v>0</v>
      </c>
      <c r="AK164" s="40">
        <f t="shared" si="78"/>
        <v>0</v>
      </c>
      <c r="AL164" s="40">
        <f t="shared" si="79"/>
        <v>0</v>
      </c>
      <c r="AN164" s="40">
        <v>21</v>
      </c>
      <c r="AO164" s="40">
        <f t="shared" si="88"/>
        <v>0</v>
      </c>
      <c r="AP164" s="40">
        <f t="shared" si="89"/>
        <v>0</v>
      </c>
      <c r="AQ164" s="17" t="s">
        <v>1260</v>
      </c>
      <c r="AV164" s="40">
        <f t="shared" si="80"/>
        <v>0</v>
      </c>
      <c r="AW164" s="40">
        <f t="shared" si="81"/>
        <v>0</v>
      </c>
      <c r="AX164" s="40">
        <f t="shared" si="82"/>
        <v>0</v>
      </c>
      <c r="AY164" s="17" t="s">
        <v>106</v>
      </c>
      <c r="AZ164" s="17" t="s">
        <v>449</v>
      </c>
      <c r="BA164" s="11" t="s">
        <v>871</v>
      </c>
      <c r="BC164" s="40">
        <f t="shared" si="83"/>
        <v>0</v>
      </c>
      <c r="BD164" s="40">
        <f t="shared" si="84"/>
        <v>0</v>
      </c>
      <c r="BE164" s="40">
        <v>0</v>
      </c>
      <c r="BF164" s="40">
        <f>164</f>
        <v>164</v>
      </c>
      <c r="BH164" s="40">
        <f t="shared" si="85"/>
        <v>0</v>
      </c>
      <c r="BI164" s="40">
        <f t="shared" si="86"/>
        <v>0</v>
      </c>
      <c r="BJ164" s="40">
        <f t="shared" si="87"/>
        <v>0</v>
      </c>
      <c r="BK164" s="40"/>
      <c r="BL164" s="40">
        <v>89</v>
      </c>
    </row>
    <row r="165" spans="1:64" ht="15" customHeight="1">
      <c r="A165" s="19" t="s">
        <v>477</v>
      </c>
      <c r="B165" s="59" t="s">
        <v>1148</v>
      </c>
      <c r="C165" s="76" t="s">
        <v>97</v>
      </c>
      <c r="D165" s="76"/>
      <c r="E165" s="76"/>
      <c r="F165" s="76"/>
      <c r="G165" s="59" t="s">
        <v>312</v>
      </c>
      <c r="H165" s="40">
        <v>13</v>
      </c>
      <c r="I165" s="40">
        <v>0</v>
      </c>
      <c r="J165" s="40">
        <f t="shared" si="66"/>
        <v>0</v>
      </c>
      <c r="K165" s="40">
        <f t="shared" si="67"/>
        <v>0</v>
      </c>
      <c r="L165" s="40">
        <f t="shared" si="68"/>
        <v>0</v>
      </c>
      <c r="M165" s="69" t="s">
        <v>868</v>
      </c>
      <c r="Z165" s="40">
        <f t="shared" si="69"/>
        <v>0</v>
      </c>
      <c r="AB165" s="40">
        <f t="shared" si="70"/>
        <v>0</v>
      </c>
      <c r="AC165" s="40">
        <f t="shared" si="71"/>
        <v>0</v>
      </c>
      <c r="AD165" s="40">
        <f t="shared" si="72"/>
        <v>0</v>
      </c>
      <c r="AE165" s="40">
        <f t="shared" si="73"/>
        <v>0</v>
      </c>
      <c r="AF165" s="40">
        <f t="shared" si="74"/>
        <v>0</v>
      </c>
      <c r="AG165" s="40">
        <f t="shared" si="75"/>
        <v>0</v>
      </c>
      <c r="AH165" s="40">
        <f t="shared" si="76"/>
        <v>0</v>
      </c>
      <c r="AI165" s="11" t="s">
        <v>110</v>
      </c>
      <c r="AJ165" s="40">
        <f t="shared" si="77"/>
        <v>0</v>
      </c>
      <c r="AK165" s="40">
        <f t="shared" si="78"/>
        <v>0</v>
      </c>
      <c r="AL165" s="40">
        <f t="shared" si="79"/>
        <v>0</v>
      </c>
      <c r="AN165" s="40">
        <v>21</v>
      </c>
      <c r="AO165" s="40">
        <f t="shared" si="88"/>
        <v>0</v>
      </c>
      <c r="AP165" s="40">
        <f t="shared" si="89"/>
        <v>0</v>
      </c>
      <c r="AQ165" s="17" t="s">
        <v>1260</v>
      </c>
      <c r="AV165" s="40">
        <f t="shared" si="80"/>
        <v>0</v>
      </c>
      <c r="AW165" s="40">
        <f t="shared" si="81"/>
        <v>0</v>
      </c>
      <c r="AX165" s="40">
        <f t="shared" si="82"/>
        <v>0</v>
      </c>
      <c r="AY165" s="17" t="s">
        <v>106</v>
      </c>
      <c r="AZ165" s="17" t="s">
        <v>449</v>
      </c>
      <c r="BA165" s="11" t="s">
        <v>871</v>
      </c>
      <c r="BC165" s="40">
        <f t="shared" si="83"/>
        <v>0</v>
      </c>
      <c r="BD165" s="40">
        <f t="shared" si="84"/>
        <v>0</v>
      </c>
      <c r="BE165" s="40">
        <v>0</v>
      </c>
      <c r="BF165" s="40">
        <f>165</f>
        <v>165</v>
      </c>
      <c r="BH165" s="40">
        <f t="shared" si="85"/>
        <v>0</v>
      </c>
      <c r="BI165" s="40">
        <f t="shared" si="86"/>
        <v>0</v>
      </c>
      <c r="BJ165" s="40">
        <f t="shared" si="87"/>
        <v>0</v>
      </c>
      <c r="BK165" s="40"/>
      <c r="BL165" s="40">
        <v>89</v>
      </c>
    </row>
    <row r="166" spans="1:64" ht="15" customHeight="1">
      <c r="A166" s="19" t="s">
        <v>170</v>
      </c>
      <c r="B166" s="59" t="s">
        <v>612</v>
      </c>
      <c r="C166" s="76" t="s">
        <v>359</v>
      </c>
      <c r="D166" s="76"/>
      <c r="E166" s="76"/>
      <c r="F166" s="76"/>
      <c r="G166" s="59" t="s">
        <v>312</v>
      </c>
      <c r="H166" s="40">
        <v>17</v>
      </c>
      <c r="I166" s="40">
        <v>0</v>
      </c>
      <c r="J166" s="40">
        <f t="shared" si="66"/>
        <v>0</v>
      </c>
      <c r="K166" s="40">
        <f t="shared" si="67"/>
        <v>0</v>
      </c>
      <c r="L166" s="40">
        <f t="shared" si="68"/>
        <v>0</v>
      </c>
      <c r="M166" s="69" t="s">
        <v>868</v>
      </c>
      <c r="Z166" s="40">
        <f t="shared" si="69"/>
        <v>0</v>
      </c>
      <c r="AB166" s="40">
        <f t="shared" si="70"/>
        <v>0</v>
      </c>
      <c r="AC166" s="40">
        <f t="shared" si="71"/>
        <v>0</v>
      </c>
      <c r="AD166" s="40">
        <f t="shared" si="72"/>
        <v>0</v>
      </c>
      <c r="AE166" s="40">
        <f t="shared" si="73"/>
        <v>0</v>
      </c>
      <c r="AF166" s="40">
        <f t="shared" si="74"/>
        <v>0</v>
      </c>
      <c r="AG166" s="40">
        <f t="shared" si="75"/>
        <v>0</v>
      </c>
      <c r="AH166" s="40">
        <f t="shared" si="76"/>
        <v>0</v>
      </c>
      <c r="AI166" s="11" t="s">
        <v>110</v>
      </c>
      <c r="AJ166" s="40">
        <f t="shared" si="77"/>
        <v>0</v>
      </c>
      <c r="AK166" s="40">
        <f t="shared" si="78"/>
        <v>0</v>
      </c>
      <c r="AL166" s="40">
        <f t="shared" si="79"/>
        <v>0</v>
      </c>
      <c r="AN166" s="40">
        <v>21</v>
      </c>
      <c r="AO166" s="40">
        <f>I166*0</f>
        <v>0</v>
      </c>
      <c r="AP166" s="40">
        <f>I166*(1-0)</f>
        <v>0</v>
      </c>
      <c r="AQ166" s="17" t="s">
        <v>1260</v>
      </c>
      <c r="AV166" s="40">
        <f t="shared" si="80"/>
        <v>0</v>
      </c>
      <c r="AW166" s="40">
        <f t="shared" si="81"/>
        <v>0</v>
      </c>
      <c r="AX166" s="40">
        <f t="shared" si="82"/>
        <v>0</v>
      </c>
      <c r="AY166" s="17" t="s">
        <v>106</v>
      </c>
      <c r="AZ166" s="17" t="s">
        <v>449</v>
      </c>
      <c r="BA166" s="11" t="s">
        <v>871</v>
      </c>
      <c r="BC166" s="40">
        <f t="shared" si="83"/>
        <v>0</v>
      </c>
      <c r="BD166" s="40">
        <f t="shared" si="84"/>
        <v>0</v>
      </c>
      <c r="BE166" s="40">
        <v>0</v>
      </c>
      <c r="BF166" s="40">
        <f>166</f>
        <v>166</v>
      </c>
      <c r="BH166" s="40">
        <f t="shared" si="85"/>
        <v>0</v>
      </c>
      <c r="BI166" s="40">
        <f t="shared" si="86"/>
        <v>0</v>
      </c>
      <c r="BJ166" s="40">
        <f t="shared" si="87"/>
        <v>0</v>
      </c>
      <c r="BK166" s="40"/>
      <c r="BL166" s="40">
        <v>89</v>
      </c>
    </row>
    <row r="167" spans="1:64" ht="15" customHeight="1">
      <c r="A167" s="19" t="s">
        <v>1388</v>
      </c>
      <c r="B167" s="59" t="s">
        <v>591</v>
      </c>
      <c r="C167" s="76" t="s">
        <v>1100</v>
      </c>
      <c r="D167" s="76"/>
      <c r="E167" s="76"/>
      <c r="F167" s="76"/>
      <c r="G167" s="59" t="s">
        <v>312</v>
      </c>
      <c r="H167" s="40">
        <v>17</v>
      </c>
      <c r="I167" s="40">
        <v>0</v>
      </c>
      <c r="J167" s="40">
        <f t="shared" si="66"/>
        <v>0</v>
      </c>
      <c r="K167" s="40">
        <f t="shared" si="67"/>
        <v>0</v>
      </c>
      <c r="L167" s="40">
        <f t="shared" si="68"/>
        <v>0</v>
      </c>
      <c r="M167" s="69" t="s">
        <v>868</v>
      </c>
      <c r="Z167" s="40">
        <f t="shared" si="69"/>
        <v>0</v>
      </c>
      <c r="AB167" s="40">
        <f t="shared" si="70"/>
        <v>0</v>
      </c>
      <c r="AC167" s="40">
        <f t="shared" si="71"/>
        <v>0</v>
      </c>
      <c r="AD167" s="40">
        <f t="shared" si="72"/>
        <v>0</v>
      </c>
      <c r="AE167" s="40">
        <f t="shared" si="73"/>
        <v>0</v>
      </c>
      <c r="AF167" s="40">
        <f t="shared" si="74"/>
        <v>0</v>
      </c>
      <c r="AG167" s="40">
        <f t="shared" si="75"/>
        <v>0</v>
      </c>
      <c r="AH167" s="40">
        <f t="shared" si="76"/>
        <v>0</v>
      </c>
      <c r="AI167" s="11" t="s">
        <v>110</v>
      </c>
      <c r="AJ167" s="40">
        <f t="shared" si="77"/>
        <v>0</v>
      </c>
      <c r="AK167" s="40">
        <f t="shared" si="78"/>
        <v>0</v>
      </c>
      <c r="AL167" s="40">
        <f t="shared" si="79"/>
        <v>0</v>
      </c>
      <c r="AN167" s="40">
        <v>21</v>
      </c>
      <c r="AO167" s="40">
        <f>I167*1</f>
        <v>0</v>
      </c>
      <c r="AP167" s="40">
        <f>I167*(1-1)</f>
        <v>0</v>
      </c>
      <c r="AQ167" s="17" t="s">
        <v>1260</v>
      </c>
      <c r="AV167" s="40">
        <f t="shared" si="80"/>
        <v>0</v>
      </c>
      <c r="AW167" s="40">
        <f t="shared" si="81"/>
        <v>0</v>
      </c>
      <c r="AX167" s="40">
        <f t="shared" si="82"/>
        <v>0</v>
      </c>
      <c r="AY167" s="17" t="s">
        <v>106</v>
      </c>
      <c r="AZ167" s="17" t="s">
        <v>449</v>
      </c>
      <c r="BA167" s="11" t="s">
        <v>871</v>
      </c>
      <c r="BC167" s="40">
        <f t="shared" si="83"/>
        <v>0</v>
      </c>
      <c r="BD167" s="40">
        <f t="shared" si="84"/>
        <v>0</v>
      </c>
      <c r="BE167" s="40">
        <v>0</v>
      </c>
      <c r="BF167" s="40">
        <f>167</f>
        <v>167</v>
      </c>
      <c r="BH167" s="40">
        <f t="shared" si="85"/>
        <v>0</v>
      </c>
      <c r="BI167" s="40">
        <f t="shared" si="86"/>
        <v>0</v>
      </c>
      <c r="BJ167" s="40">
        <f t="shared" si="87"/>
        <v>0</v>
      </c>
      <c r="BK167" s="40"/>
      <c r="BL167" s="40">
        <v>89</v>
      </c>
    </row>
    <row r="168" spans="1:64" ht="15" customHeight="1">
      <c r="A168" s="19" t="s">
        <v>583</v>
      </c>
      <c r="B168" s="59" t="s">
        <v>69</v>
      </c>
      <c r="C168" s="76" t="s">
        <v>367</v>
      </c>
      <c r="D168" s="76"/>
      <c r="E168" s="76"/>
      <c r="F168" s="76"/>
      <c r="G168" s="59" t="s">
        <v>312</v>
      </c>
      <c r="H168" s="40">
        <v>1</v>
      </c>
      <c r="I168" s="40">
        <v>0</v>
      </c>
      <c r="J168" s="40">
        <f t="shared" si="66"/>
        <v>0</v>
      </c>
      <c r="K168" s="40">
        <f t="shared" si="67"/>
        <v>0</v>
      </c>
      <c r="L168" s="40">
        <f t="shared" si="68"/>
        <v>0</v>
      </c>
      <c r="M168" s="69" t="s">
        <v>868</v>
      </c>
      <c r="Z168" s="40">
        <f t="shared" si="69"/>
        <v>0</v>
      </c>
      <c r="AB168" s="40">
        <f t="shared" si="70"/>
        <v>0</v>
      </c>
      <c r="AC168" s="40">
        <f t="shared" si="71"/>
        <v>0</v>
      </c>
      <c r="AD168" s="40">
        <f t="shared" si="72"/>
        <v>0</v>
      </c>
      <c r="AE168" s="40">
        <f t="shared" si="73"/>
        <v>0</v>
      </c>
      <c r="AF168" s="40">
        <f t="shared" si="74"/>
        <v>0</v>
      </c>
      <c r="AG168" s="40">
        <f t="shared" si="75"/>
        <v>0</v>
      </c>
      <c r="AH168" s="40">
        <f t="shared" si="76"/>
        <v>0</v>
      </c>
      <c r="AI168" s="11" t="s">
        <v>110</v>
      </c>
      <c r="AJ168" s="40">
        <f t="shared" si="77"/>
        <v>0</v>
      </c>
      <c r="AK168" s="40">
        <f t="shared" si="78"/>
        <v>0</v>
      </c>
      <c r="AL168" s="40">
        <f t="shared" si="79"/>
        <v>0</v>
      </c>
      <c r="AN168" s="40">
        <v>21</v>
      </c>
      <c r="AO168" s="40">
        <f>I168*1</f>
        <v>0</v>
      </c>
      <c r="AP168" s="40">
        <f>I168*(1-1)</f>
        <v>0</v>
      </c>
      <c r="AQ168" s="17" t="s">
        <v>1260</v>
      </c>
      <c r="AV168" s="40">
        <f t="shared" si="80"/>
        <v>0</v>
      </c>
      <c r="AW168" s="40">
        <f t="shared" si="81"/>
        <v>0</v>
      </c>
      <c r="AX168" s="40">
        <f t="shared" si="82"/>
        <v>0</v>
      </c>
      <c r="AY168" s="17" t="s">
        <v>106</v>
      </c>
      <c r="AZ168" s="17" t="s">
        <v>449</v>
      </c>
      <c r="BA168" s="11" t="s">
        <v>871</v>
      </c>
      <c r="BC168" s="40">
        <f t="shared" si="83"/>
        <v>0</v>
      </c>
      <c r="BD168" s="40">
        <f t="shared" si="84"/>
        <v>0</v>
      </c>
      <c r="BE168" s="40">
        <v>0</v>
      </c>
      <c r="BF168" s="40">
        <f>168</f>
        <v>168</v>
      </c>
      <c r="BH168" s="40">
        <f t="shared" si="85"/>
        <v>0</v>
      </c>
      <c r="BI168" s="40">
        <f t="shared" si="86"/>
        <v>0</v>
      </c>
      <c r="BJ168" s="40">
        <f t="shared" si="87"/>
        <v>0</v>
      </c>
      <c r="BK168" s="40"/>
      <c r="BL168" s="40">
        <v>89</v>
      </c>
    </row>
    <row r="169" spans="1:64" ht="15" customHeight="1">
      <c r="A169" s="19" t="s">
        <v>1032</v>
      </c>
      <c r="B169" s="59" t="s">
        <v>486</v>
      </c>
      <c r="C169" s="76" t="s">
        <v>1014</v>
      </c>
      <c r="D169" s="76"/>
      <c r="E169" s="76"/>
      <c r="F169" s="76"/>
      <c r="G169" s="59" t="s">
        <v>312</v>
      </c>
      <c r="H169" s="40">
        <v>33</v>
      </c>
      <c r="I169" s="40">
        <v>0</v>
      </c>
      <c r="J169" s="40">
        <f t="shared" si="66"/>
        <v>0</v>
      </c>
      <c r="K169" s="40">
        <f t="shared" si="67"/>
        <v>0</v>
      </c>
      <c r="L169" s="40">
        <f t="shared" si="68"/>
        <v>0</v>
      </c>
      <c r="M169" s="69" t="s">
        <v>868</v>
      </c>
      <c r="Z169" s="40">
        <f t="shared" si="69"/>
        <v>0</v>
      </c>
      <c r="AB169" s="40">
        <f t="shared" si="70"/>
        <v>0</v>
      </c>
      <c r="AC169" s="40">
        <f t="shared" si="71"/>
        <v>0</v>
      </c>
      <c r="AD169" s="40">
        <f t="shared" si="72"/>
        <v>0</v>
      </c>
      <c r="AE169" s="40">
        <f t="shared" si="73"/>
        <v>0</v>
      </c>
      <c r="AF169" s="40">
        <f t="shared" si="74"/>
        <v>0</v>
      </c>
      <c r="AG169" s="40">
        <f t="shared" si="75"/>
        <v>0</v>
      </c>
      <c r="AH169" s="40">
        <f t="shared" si="76"/>
        <v>0</v>
      </c>
      <c r="AI169" s="11" t="s">
        <v>110</v>
      </c>
      <c r="AJ169" s="40">
        <f t="shared" si="77"/>
        <v>0</v>
      </c>
      <c r="AK169" s="40">
        <f t="shared" si="78"/>
        <v>0</v>
      </c>
      <c r="AL169" s="40">
        <f t="shared" si="79"/>
        <v>0</v>
      </c>
      <c r="AN169" s="40">
        <v>21</v>
      </c>
      <c r="AO169" s="40">
        <f>I169*1</f>
        <v>0</v>
      </c>
      <c r="AP169" s="40">
        <f>I169*(1-1)</f>
        <v>0</v>
      </c>
      <c r="AQ169" s="17" t="s">
        <v>1260</v>
      </c>
      <c r="AV169" s="40">
        <f t="shared" si="80"/>
        <v>0</v>
      </c>
      <c r="AW169" s="40">
        <f t="shared" si="81"/>
        <v>0</v>
      </c>
      <c r="AX169" s="40">
        <f t="shared" si="82"/>
        <v>0</v>
      </c>
      <c r="AY169" s="17" t="s">
        <v>106</v>
      </c>
      <c r="AZ169" s="17" t="s">
        <v>449</v>
      </c>
      <c r="BA169" s="11" t="s">
        <v>871</v>
      </c>
      <c r="BC169" s="40">
        <f t="shared" si="83"/>
        <v>0</v>
      </c>
      <c r="BD169" s="40">
        <f t="shared" si="84"/>
        <v>0</v>
      </c>
      <c r="BE169" s="40">
        <v>0</v>
      </c>
      <c r="BF169" s="40">
        <f>169</f>
        <v>169</v>
      </c>
      <c r="BH169" s="40">
        <f t="shared" si="85"/>
        <v>0</v>
      </c>
      <c r="BI169" s="40">
        <f t="shared" si="86"/>
        <v>0</v>
      </c>
      <c r="BJ169" s="40">
        <f t="shared" si="87"/>
        <v>0</v>
      </c>
      <c r="BK169" s="40"/>
      <c r="BL169" s="40">
        <v>89</v>
      </c>
    </row>
    <row r="170" spans="1:64" ht="15" customHeight="1">
      <c r="A170" s="19" t="s">
        <v>564</v>
      </c>
      <c r="B170" s="59" t="s">
        <v>996</v>
      </c>
      <c r="C170" s="76" t="s">
        <v>451</v>
      </c>
      <c r="D170" s="76"/>
      <c r="E170" s="76"/>
      <c r="F170" s="76"/>
      <c r="G170" s="59" t="s">
        <v>312</v>
      </c>
      <c r="H170" s="40">
        <v>18</v>
      </c>
      <c r="I170" s="40">
        <v>0</v>
      </c>
      <c r="J170" s="40">
        <f t="shared" si="66"/>
        <v>0</v>
      </c>
      <c r="K170" s="40">
        <f t="shared" si="67"/>
        <v>0</v>
      </c>
      <c r="L170" s="40">
        <f t="shared" si="68"/>
        <v>0</v>
      </c>
      <c r="M170" s="69" t="s">
        <v>868</v>
      </c>
      <c r="Z170" s="40">
        <f t="shared" si="69"/>
        <v>0</v>
      </c>
      <c r="AB170" s="40">
        <f t="shared" si="70"/>
        <v>0</v>
      </c>
      <c r="AC170" s="40">
        <f t="shared" si="71"/>
        <v>0</v>
      </c>
      <c r="AD170" s="40">
        <f t="shared" si="72"/>
        <v>0</v>
      </c>
      <c r="AE170" s="40">
        <f t="shared" si="73"/>
        <v>0</v>
      </c>
      <c r="AF170" s="40">
        <f t="shared" si="74"/>
        <v>0</v>
      </c>
      <c r="AG170" s="40">
        <f t="shared" si="75"/>
        <v>0</v>
      </c>
      <c r="AH170" s="40">
        <f t="shared" si="76"/>
        <v>0</v>
      </c>
      <c r="AI170" s="11" t="s">
        <v>110</v>
      </c>
      <c r="AJ170" s="40">
        <f t="shared" si="77"/>
        <v>0</v>
      </c>
      <c r="AK170" s="40">
        <f t="shared" si="78"/>
        <v>0</v>
      </c>
      <c r="AL170" s="40">
        <f t="shared" si="79"/>
        <v>0</v>
      </c>
      <c r="AN170" s="40">
        <v>21</v>
      </c>
      <c r="AO170" s="40">
        <f>I170*0.0102210490819661</f>
        <v>0</v>
      </c>
      <c r="AP170" s="40">
        <f>I170*(1-0.0102210490819661)</f>
        <v>0</v>
      </c>
      <c r="AQ170" s="17" t="s">
        <v>1260</v>
      </c>
      <c r="AV170" s="40">
        <f t="shared" si="80"/>
        <v>0</v>
      </c>
      <c r="AW170" s="40">
        <f t="shared" si="81"/>
        <v>0</v>
      </c>
      <c r="AX170" s="40">
        <f t="shared" si="82"/>
        <v>0</v>
      </c>
      <c r="AY170" s="17" t="s">
        <v>106</v>
      </c>
      <c r="AZ170" s="17" t="s">
        <v>449</v>
      </c>
      <c r="BA170" s="11" t="s">
        <v>871</v>
      </c>
      <c r="BC170" s="40">
        <f t="shared" si="83"/>
        <v>0</v>
      </c>
      <c r="BD170" s="40">
        <f t="shared" si="84"/>
        <v>0</v>
      </c>
      <c r="BE170" s="40">
        <v>0</v>
      </c>
      <c r="BF170" s="40">
        <f>170</f>
        <v>170</v>
      </c>
      <c r="BH170" s="40">
        <f t="shared" si="85"/>
        <v>0</v>
      </c>
      <c r="BI170" s="40">
        <f t="shared" si="86"/>
        <v>0</v>
      </c>
      <c r="BJ170" s="40">
        <f t="shared" si="87"/>
        <v>0</v>
      </c>
      <c r="BK170" s="40"/>
      <c r="BL170" s="40">
        <v>89</v>
      </c>
    </row>
    <row r="171" spans="1:64" ht="15" customHeight="1">
      <c r="A171" s="19" t="s">
        <v>815</v>
      </c>
      <c r="B171" s="59" t="s">
        <v>910</v>
      </c>
      <c r="C171" s="76" t="s">
        <v>784</v>
      </c>
      <c r="D171" s="76"/>
      <c r="E171" s="76"/>
      <c r="F171" s="76"/>
      <c r="G171" s="59" t="s">
        <v>312</v>
      </c>
      <c r="H171" s="40">
        <v>3</v>
      </c>
      <c r="I171" s="40">
        <v>0</v>
      </c>
      <c r="J171" s="40">
        <f t="shared" si="66"/>
        <v>0</v>
      </c>
      <c r="K171" s="40">
        <f t="shared" si="67"/>
        <v>0</v>
      </c>
      <c r="L171" s="40">
        <f t="shared" si="68"/>
        <v>0</v>
      </c>
      <c r="M171" s="69" t="s">
        <v>868</v>
      </c>
      <c r="Z171" s="40">
        <f t="shared" si="69"/>
        <v>0</v>
      </c>
      <c r="AB171" s="40">
        <f t="shared" si="70"/>
        <v>0</v>
      </c>
      <c r="AC171" s="40">
        <f t="shared" si="71"/>
        <v>0</v>
      </c>
      <c r="AD171" s="40">
        <f t="shared" si="72"/>
        <v>0</v>
      </c>
      <c r="AE171" s="40">
        <f t="shared" si="73"/>
        <v>0</v>
      </c>
      <c r="AF171" s="40">
        <f t="shared" si="74"/>
        <v>0</v>
      </c>
      <c r="AG171" s="40">
        <f t="shared" si="75"/>
        <v>0</v>
      </c>
      <c r="AH171" s="40">
        <f t="shared" si="76"/>
        <v>0</v>
      </c>
      <c r="AI171" s="11" t="s">
        <v>110</v>
      </c>
      <c r="AJ171" s="40">
        <f t="shared" si="77"/>
        <v>0</v>
      </c>
      <c r="AK171" s="40">
        <f t="shared" si="78"/>
        <v>0</v>
      </c>
      <c r="AL171" s="40">
        <f t="shared" si="79"/>
        <v>0</v>
      </c>
      <c r="AN171" s="40">
        <v>21</v>
      </c>
      <c r="AO171" s="40">
        <f>I171*1</f>
        <v>0</v>
      </c>
      <c r="AP171" s="40">
        <f>I171*(1-1)</f>
        <v>0</v>
      </c>
      <c r="AQ171" s="17" t="s">
        <v>1260</v>
      </c>
      <c r="AV171" s="40">
        <f t="shared" si="80"/>
        <v>0</v>
      </c>
      <c r="AW171" s="40">
        <f t="shared" si="81"/>
        <v>0</v>
      </c>
      <c r="AX171" s="40">
        <f t="shared" si="82"/>
        <v>0</v>
      </c>
      <c r="AY171" s="17" t="s">
        <v>106</v>
      </c>
      <c r="AZ171" s="17" t="s">
        <v>449</v>
      </c>
      <c r="BA171" s="11" t="s">
        <v>871</v>
      </c>
      <c r="BC171" s="40">
        <f t="shared" si="83"/>
        <v>0</v>
      </c>
      <c r="BD171" s="40">
        <f t="shared" si="84"/>
        <v>0</v>
      </c>
      <c r="BE171" s="40">
        <v>0</v>
      </c>
      <c r="BF171" s="40">
        <f>171</f>
        <v>171</v>
      </c>
      <c r="BH171" s="40">
        <f t="shared" si="85"/>
        <v>0</v>
      </c>
      <c r="BI171" s="40">
        <f t="shared" si="86"/>
        <v>0</v>
      </c>
      <c r="BJ171" s="40">
        <f t="shared" si="87"/>
        <v>0</v>
      </c>
      <c r="BK171" s="40"/>
      <c r="BL171" s="40">
        <v>89</v>
      </c>
    </row>
    <row r="172" spans="1:64" ht="15" customHeight="1">
      <c r="A172" s="19" t="s">
        <v>1374</v>
      </c>
      <c r="B172" s="59" t="s">
        <v>710</v>
      </c>
      <c r="C172" s="76" t="s">
        <v>62</v>
      </c>
      <c r="D172" s="76"/>
      <c r="E172" s="76"/>
      <c r="F172" s="76"/>
      <c r="G172" s="59" t="s">
        <v>312</v>
      </c>
      <c r="H172" s="40">
        <v>15</v>
      </c>
      <c r="I172" s="40">
        <v>0</v>
      </c>
      <c r="J172" s="40">
        <f t="shared" si="66"/>
        <v>0</v>
      </c>
      <c r="K172" s="40">
        <f t="shared" si="67"/>
        <v>0</v>
      </c>
      <c r="L172" s="40">
        <f t="shared" si="68"/>
        <v>0</v>
      </c>
      <c r="M172" s="69" t="s">
        <v>868</v>
      </c>
      <c r="Z172" s="40">
        <f t="shared" si="69"/>
        <v>0</v>
      </c>
      <c r="AB172" s="40">
        <f t="shared" si="70"/>
        <v>0</v>
      </c>
      <c r="AC172" s="40">
        <f t="shared" si="71"/>
        <v>0</v>
      </c>
      <c r="AD172" s="40">
        <f t="shared" si="72"/>
        <v>0</v>
      </c>
      <c r="AE172" s="40">
        <f t="shared" si="73"/>
        <v>0</v>
      </c>
      <c r="AF172" s="40">
        <f t="shared" si="74"/>
        <v>0</v>
      </c>
      <c r="AG172" s="40">
        <f t="shared" si="75"/>
        <v>0</v>
      </c>
      <c r="AH172" s="40">
        <f t="shared" si="76"/>
        <v>0</v>
      </c>
      <c r="AI172" s="11" t="s">
        <v>110</v>
      </c>
      <c r="AJ172" s="40">
        <f t="shared" si="77"/>
        <v>0</v>
      </c>
      <c r="AK172" s="40">
        <f t="shared" si="78"/>
        <v>0</v>
      </c>
      <c r="AL172" s="40">
        <f t="shared" si="79"/>
        <v>0</v>
      </c>
      <c r="AN172" s="40">
        <v>21</v>
      </c>
      <c r="AO172" s="40">
        <f>I172*1</f>
        <v>0</v>
      </c>
      <c r="AP172" s="40">
        <f>I172*(1-1)</f>
        <v>0</v>
      </c>
      <c r="AQ172" s="17" t="s">
        <v>1260</v>
      </c>
      <c r="AV172" s="40">
        <f t="shared" si="80"/>
        <v>0</v>
      </c>
      <c r="AW172" s="40">
        <f t="shared" si="81"/>
        <v>0</v>
      </c>
      <c r="AX172" s="40">
        <f t="shared" si="82"/>
        <v>0</v>
      </c>
      <c r="AY172" s="17" t="s">
        <v>106</v>
      </c>
      <c r="AZ172" s="17" t="s">
        <v>449</v>
      </c>
      <c r="BA172" s="11" t="s">
        <v>871</v>
      </c>
      <c r="BC172" s="40">
        <f t="shared" si="83"/>
        <v>0</v>
      </c>
      <c r="BD172" s="40">
        <f t="shared" si="84"/>
        <v>0</v>
      </c>
      <c r="BE172" s="40">
        <v>0</v>
      </c>
      <c r="BF172" s="40">
        <f>172</f>
        <v>172</v>
      </c>
      <c r="BH172" s="40">
        <f t="shared" si="85"/>
        <v>0</v>
      </c>
      <c r="BI172" s="40">
        <f t="shared" si="86"/>
        <v>0</v>
      </c>
      <c r="BJ172" s="40">
        <f t="shared" si="87"/>
        <v>0</v>
      </c>
      <c r="BK172" s="40"/>
      <c r="BL172" s="40">
        <v>89</v>
      </c>
    </row>
    <row r="173" spans="1:64" ht="15" customHeight="1">
      <c r="A173" s="19" t="s">
        <v>893</v>
      </c>
      <c r="B173" s="59" t="s">
        <v>551</v>
      </c>
      <c r="C173" s="76" t="s">
        <v>1426</v>
      </c>
      <c r="D173" s="76"/>
      <c r="E173" s="76"/>
      <c r="F173" s="76"/>
      <c r="G173" s="59" t="s">
        <v>312</v>
      </c>
      <c r="H173" s="40">
        <v>1</v>
      </c>
      <c r="I173" s="40">
        <v>0</v>
      </c>
      <c r="J173" s="40">
        <f t="shared" si="66"/>
        <v>0</v>
      </c>
      <c r="K173" s="40">
        <f t="shared" si="67"/>
        <v>0</v>
      </c>
      <c r="L173" s="40">
        <f t="shared" si="68"/>
        <v>0</v>
      </c>
      <c r="M173" s="69" t="s">
        <v>868</v>
      </c>
      <c r="Z173" s="40">
        <f t="shared" si="69"/>
        <v>0</v>
      </c>
      <c r="AB173" s="40">
        <f t="shared" si="70"/>
        <v>0</v>
      </c>
      <c r="AC173" s="40">
        <f t="shared" si="71"/>
        <v>0</v>
      </c>
      <c r="AD173" s="40">
        <f t="shared" si="72"/>
        <v>0</v>
      </c>
      <c r="AE173" s="40">
        <f t="shared" si="73"/>
        <v>0</v>
      </c>
      <c r="AF173" s="40">
        <f t="shared" si="74"/>
        <v>0</v>
      </c>
      <c r="AG173" s="40">
        <f t="shared" si="75"/>
        <v>0</v>
      </c>
      <c r="AH173" s="40">
        <f t="shared" si="76"/>
        <v>0</v>
      </c>
      <c r="AI173" s="11" t="s">
        <v>110</v>
      </c>
      <c r="AJ173" s="40">
        <f t="shared" si="77"/>
        <v>0</v>
      </c>
      <c r="AK173" s="40">
        <f t="shared" si="78"/>
        <v>0</v>
      </c>
      <c r="AL173" s="40">
        <f t="shared" si="79"/>
        <v>0</v>
      </c>
      <c r="AN173" s="40">
        <v>21</v>
      </c>
      <c r="AO173" s="40">
        <f>I173*0.304254118913739</f>
        <v>0</v>
      </c>
      <c r="AP173" s="40">
        <f>I173*(1-0.304254118913739)</f>
        <v>0</v>
      </c>
      <c r="AQ173" s="17" t="s">
        <v>1260</v>
      </c>
      <c r="AV173" s="40">
        <f t="shared" si="80"/>
        <v>0</v>
      </c>
      <c r="AW173" s="40">
        <f t="shared" si="81"/>
        <v>0</v>
      </c>
      <c r="AX173" s="40">
        <f t="shared" si="82"/>
        <v>0</v>
      </c>
      <c r="AY173" s="17" t="s">
        <v>106</v>
      </c>
      <c r="AZ173" s="17" t="s">
        <v>449</v>
      </c>
      <c r="BA173" s="11" t="s">
        <v>871</v>
      </c>
      <c r="BC173" s="40">
        <f t="shared" si="83"/>
        <v>0</v>
      </c>
      <c r="BD173" s="40">
        <f t="shared" si="84"/>
        <v>0</v>
      </c>
      <c r="BE173" s="40">
        <v>0</v>
      </c>
      <c r="BF173" s="40">
        <f>173</f>
        <v>173</v>
      </c>
      <c r="BH173" s="40">
        <f t="shared" si="85"/>
        <v>0</v>
      </c>
      <c r="BI173" s="40">
        <f t="shared" si="86"/>
        <v>0</v>
      </c>
      <c r="BJ173" s="40">
        <f t="shared" si="87"/>
        <v>0</v>
      </c>
      <c r="BK173" s="40"/>
      <c r="BL173" s="40">
        <v>89</v>
      </c>
    </row>
    <row r="174" spans="1:64" ht="15" customHeight="1">
      <c r="A174" s="19" t="s">
        <v>1387</v>
      </c>
      <c r="B174" s="59" t="s">
        <v>616</v>
      </c>
      <c r="C174" s="76" t="s">
        <v>108</v>
      </c>
      <c r="D174" s="76"/>
      <c r="E174" s="76"/>
      <c r="F174" s="76"/>
      <c r="G174" s="59" t="s">
        <v>312</v>
      </c>
      <c r="H174" s="40">
        <v>3</v>
      </c>
      <c r="I174" s="40">
        <v>0</v>
      </c>
      <c r="J174" s="40">
        <f t="shared" si="66"/>
        <v>0</v>
      </c>
      <c r="K174" s="40">
        <f t="shared" si="67"/>
        <v>0</v>
      </c>
      <c r="L174" s="40">
        <f t="shared" si="68"/>
        <v>0</v>
      </c>
      <c r="M174" s="69" t="s">
        <v>868</v>
      </c>
      <c r="Z174" s="40">
        <f t="shared" si="69"/>
        <v>0</v>
      </c>
      <c r="AB174" s="40">
        <f t="shared" si="70"/>
        <v>0</v>
      </c>
      <c r="AC174" s="40">
        <f t="shared" si="71"/>
        <v>0</v>
      </c>
      <c r="AD174" s="40">
        <f t="shared" si="72"/>
        <v>0</v>
      </c>
      <c r="AE174" s="40">
        <f t="shared" si="73"/>
        <v>0</v>
      </c>
      <c r="AF174" s="40">
        <f t="shared" si="74"/>
        <v>0</v>
      </c>
      <c r="AG174" s="40">
        <f t="shared" si="75"/>
        <v>0</v>
      </c>
      <c r="AH174" s="40">
        <f t="shared" si="76"/>
        <v>0</v>
      </c>
      <c r="AI174" s="11" t="s">
        <v>110</v>
      </c>
      <c r="AJ174" s="40">
        <f t="shared" si="77"/>
        <v>0</v>
      </c>
      <c r="AK174" s="40">
        <f t="shared" si="78"/>
        <v>0</v>
      </c>
      <c r="AL174" s="40">
        <f t="shared" si="79"/>
        <v>0</v>
      </c>
      <c r="AN174" s="40">
        <v>21</v>
      </c>
      <c r="AO174" s="40">
        <f>I174*0.447255018587361</f>
        <v>0</v>
      </c>
      <c r="AP174" s="40">
        <f>I174*(1-0.447255018587361)</f>
        <v>0</v>
      </c>
      <c r="AQ174" s="17" t="s">
        <v>1260</v>
      </c>
      <c r="AV174" s="40">
        <f t="shared" si="80"/>
        <v>0</v>
      </c>
      <c r="AW174" s="40">
        <f t="shared" si="81"/>
        <v>0</v>
      </c>
      <c r="AX174" s="40">
        <f t="shared" si="82"/>
        <v>0</v>
      </c>
      <c r="AY174" s="17" t="s">
        <v>106</v>
      </c>
      <c r="AZ174" s="17" t="s">
        <v>449</v>
      </c>
      <c r="BA174" s="11" t="s">
        <v>871</v>
      </c>
      <c r="BC174" s="40">
        <f t="shared" si="83"/>
        <v>0</v>
      </c>
      <c r="BD174" s="40">
        <f t="shared" si="84"/>
        <v>0</v>
      </c>
      <c r="BE174" s="40">
        <v>0</v>
      </c>
      <c r="BF174" s="40">
        <f>174</f>
        <v>174</v>
      </c>
      <c r="BH174" s="40">
        <f t="shared" si="85"/>
        <v>0</v>
      </c>
      <c r="BI174" s="40">
        <f t="shared" si="86"/>
        <v>0</v>
      </c>
      <c r="BJ174" s="40">
        <f t="shared" si="87"/>
        <v>0</v>
      </c>
      <c r="BK174" s="40"/>
      <c r="BL174" s="40">
        <v>89</v>
      </c>
    </row>
    <row r="175" spans="1:64" ht="15" customHeight="1">
      <c r="A175" s="19" t="s">
        <v>1290</v>
      </c>
      <c r="B175" s="59" t="s">
        <v>379</v>
      </c>
      <c r="C175" s="76" t="s">
        <v>146</v>
      </c>
      <c r="D175" s="76"/>
      <c r="E175" s="76"/>
      <c r="F175" s="76"/>
      <c r="G175" s="59" t="s">
        <v>312</v>
      </c>
      <c r="H175" s="40">
        <v>40</v>
      </c>
      <c r="I175" s="40">
        <v>0</v>
      </c>
      <c r="J175" s="40">
        <f t="shared" si="66"/>
        <v>0</v>
      </c>
      <c r="K175" s="40">
        <f t="shared" si="67"/>
        <v>0</v>
      </c>
      <c r="L175" s="40">
        <f t="shared" si="68"/>
        <v>0</v>
      </c>
      <c r="M175" s="69" t="s">
        <v>868</v>
      </c>
      <c r="Z175" s="40">
        <f t="shared" si="69"/>
        <v>0</v>
      </c>
      <c r="AB175" s="40">
        <f t="shared" si="70"/>
        <v>0</v>
      </c>
      <c r="AC175" s="40">
        <f t="shared" si="71"/>
        <v>0</v>
      </c>
      <c r="AD175" s="40">
        <f t="shared" si="72"/>
        <v>0</v>
      </c>
      <c r="AE175" s="40">
        <f t="shared" si="73"/>
        <v>0</v>
      </c>
      <c r="AF175" s="40">
        <f t="shared" si="74"/>
        <v>0</v>
      </c>
      <c r="AG175" s="40">
        <f t="shared" si="75"/>
        <v>0</v>
      </c>
      <c r="AH175" s="40">
        <f t="shared" si="76"/>
        <v>0</v>
      </c>
      <c r="AI175" s="11" t="s">
        <v>110</v>
      </c>
      <c r="AJ175" s="40">
        <f t="shared" si="77"/>
        <v>0</v>
      </c>
      <c r="AK175" s="40">
        <f t="shared" si="78"/>
        <v>0</v>
      </c>
      <c r="AL175" s="40">
        <f t="shared" si="79"/>
        <v>0</v>
      </c>
      <c r="AN175" s="40">
        <v>21</v>
      </c>
      <c r="AO175" s="40">
        <f>I175*0.0556350710900474</f>
        <v>0</v>
      </c>
      <c r="AP175" s="40">
        <f>I175*(1-0.0556350710900474)</f>
        <v>0</v>
      </c>
      <c r="AQ175" s="17" t="s">
        <v>1260</v>
      </c>
      <c r="AV175" s="40">
        <f t="shared" si="80"/>
        <v>0</v>
      </c>
      <c r="AW175" s="40">
        <f t="shared" si="81"/>
        <v>0</v>
      </c>
      <c r="AX175" s="40">
        <f t="shared" si="82"/>
        <v>0</v>
      </c>
      <c r="AY175" s="17" t="s">
        <v>106</v>
      </c>
      <c r="AZ175" s="17" t="s">
        <v>449</v>
      </c>
      <c r="BA175" s="11" t="s">
        <v>871</v>
      </c>
      <c r="BC175" s="40">
        <f t="shared" si="83"/>
        <v>0</v>
      </c>
      <c r="BD175" s="40">
        <f t="shared" si="84"/>
        <v>0</v>
      </c>
      <c r="BE175" s="40">
        <v>0</v>
      </c>
      <c r="BF175" s="40">
        <f>175</f>
        <v>175</v>
      </c>
      <c r="BH175" s="40">
        <f t="shared" si="85"/>
        <v>0</v>
      </c>
      <c r="BI175" s="40">
        <f t="shared" si="86"/>
        <v>0</v>
      </c>
      <c r="BJ175" s="40">
        <f t="shared" si="87"/>
        <v>0</v>
      </c>
      <c r="BK175" s="40"/>
      <c r="BL175" s="40">
        <v>89</v>
      </c>
    </row>
    <row r="176" spans="1:64" ht="15" customHeight="1">
      <c r="A176" s="19" t="s">
        <v>1213</v>
      </c>
      <c r="B176" s="59" t="s">
        <v>648</v>
      </c>
      <c r="C176" s="76" t="s">
        <v>1022</v>
      </c>
      <c r="D176" s="76"/>
      <c r="E176" s="76"/>
      <c r="F176" s="76"/>
      <c r="G176" s="59" t="s">
        <v>312</v>
      </c>
      <c r="H176" s="40">
        <v>40</v>
      </c>
      <c r="I176" s="40">
        <v>0</v>
      </c>
      <c r="J176" s="40">
        <f t="shared" si="66"/>
        <v>0</v>
      </c>
      <c r="K176" s="40">
        <f t="shared" si="67"/>
        <v>0</v>
      </c>
      <c r="L176" s="40">
        <f t="shared" si="68"/>
        <v>0</v>
      </c>
      <c r="M176" s="69" t="s">
        <v>868</v>
      </c>
      <c r="Z176" s="40">
        <f t="shared" si="69"/>
        <v>0</v>
      </c>
      <c r="AB176" s="40">
        <f t="shared" si="70"/>
        <v>0</v>
      </c>
      <c r="AC176" s="40">
        <f t="shared" si="71"/>
        <v>0</v>
      </c>
      <c r="AD176" s="40">
        <f t="shared" si="72"/>
        <v>0</v>
      </c>
      <c r="AE176" s="40">
        <f t="shared" si="73"/>
        <v>0</v>
      </c>
      <c r="AF176" s="40">
        <f t="shared" si="74"/>
        <v>0</v>
      </c>
      <c r="AG176" s="40">
        <f t="shared" si="75"/>
        <v>0</v>
      </c>
      <c r="AH176" s="40">
        <f t="shared" si="76"/>
        <v>0</v>
      </c>
      <c r="AI176" s="11" t="s">
        <v>110</v>
      </c>
      <c r="AJ176" s="40">
        <f t="shared" si="77"/>
        <v>0</v>
      </c>
      <c r="AK176" s="40">
        <f t="shared" si="78"/>
        <v>0</v>
      </c>
      <c r="AL176" s="40">
        <f t="shared" si="79"/>
        <v>0</v>
      </c>
      <c r="AN176" s="40">
        <v>21</v>
      </c>
      <c r="AO176" s="40">
        <f aca="true" t="shared" si="90" ref="AO176:AO181">I176*1</f>
        <v>0</v>
      </c>
      <c r="AP176" s="40">
        <f aca="true" t="shared" si="91" ref="AP176:AP181">I176*(1-1)</f>
        <v>0</v>
      </c>
      <c r="AQ176" s="17" t="s">
        <v>1260</v>
      </c>
      <c r="AV176" s="40">
        <f t="shared" si="80"/>
        <v>0</v>
      </c>
      <c r="AW176" s="40">
        <f t="shared" si="81"/>
        <v>0</v>
      </c>
      <c r="AX176" s="40">
        <f t="shared" si="82"/>
        <v>0</v>
      </c>
      <c r="AY176" s="17" t="s">
        <v>106</v>
      </c>
      <c r="AZ176" s="17" t="s">
        <v>449</v>
      </c>
      <c r="BA176" s="11" t="s">
        <v>871</v>
      </c>
      <c r="BC176" s="40">
        <f t="shared" si="83"/>
        <v>0</v>
      </c>
      <c r="BD176" s="40">
        <f t="shared" si="84"/>
        <v>0</v>
      </c>
      <c r="BE176" s="40">
        <v>0</v>
      </c>
      <c r="BF176" s="40">
        <f>176</f>
        <v>176</v>
      </c>
      <c r="BH176" s="40">
        <f t="shared" si="85"/>
        <v>0</v>
      </c>
      <c r="BI176" s="40">
        <f t="shared" si="86"/>
        <v>0</v>
      </c>
      <c r="BJ176" s="40">
        <f t="shared" si="87"/>
        <v>0</v>
      </c>
      <c r="BK176" s="40"/>
      <c r="BL176" s="40">
        <v>89</v>
      </c>
    </row>
    <row r="177" spans="1:64" ht="15" customHeight="1">
      <c r="A177" s="19" t="s">
        <v>653</v>
      </c>
      <c r="B177" s="59" t="s">
        <v>1092</v>
      </c>
      <c r="C177" s="76" t="s">
        <v>35</v>
      </c>
      <c r="D177" s="76"/>
      <c r="E177" s="76"/>
      <c r="F177" s="76"/>
      <c r="G177" s="59" t="s">
        <v>312</v>
      </c>
      <c r="H177" s="40">
        <v>40</v>
      </c>
      <c r="I177" s="40">
        <v>0</v>
      </c>
      <c r="J177" s="40">
        <f t="shared" si="66"/>
        <v>0</v>
      </c>
      <c r="K177" s="40">
        <f t="shared" si="67"/>
        <v>0</v>
      </c>
      <c r="L177" s="40">
        <f t="shared" si="68"/>
        <v>0</v>
      </c>
      <c r="M177" s="69" t="s">
        <v>868</v>
      </c>
      <c r="Z177" s="40">
        <f t="shared" si="69"/>
        <v>0</v>
      </c>
      <c r="AB177" s="40">
        <f t="shared" si="70"/>
        <v>0</v>
      </c>
      <c r="AC177" s="40">
        <f t="shared" si="71"/>
        <v>0</v>
      </c>
      <c r="AD177" s="40">
        <f t="shared" si="72"/>
        <v>0</v>
      </c>
      <c r="AE177" s="40">
        <f t="shared" si="73"/>
        <v>0</v>
      </c>
      <c r="AF177" s="40">
        <f t="shared" si="74"/>
        <v>0</v>
      </c>
      <c r="AG177" s="40">
        <f t="shared" si="75"/>
        <v>0</v>
      </c>
      <c r="AH177" s="40">
        <f t="shared" si="76"/>
        <v>0</v>
      </c>
      <c r="AI177" s="11" t="s">
        <v>110</v>
      </c>
      <c r="AJ177" s="40">
        <f t="shared" si="77"/>
        <v>0</v>
      </c>
      <c r="AK177" s="40">
        <f t="shared" si="78"/>
        <v>0</v>
      </c>
      <c r="AL177" s="40">
        <f t="shared" si="79"/>
        <v>0</v>
      </c>
      <c r="AN177" s="40">
        <v>21</v>
      </c>
      <c r="AO177" s="40">
        <f t="shared" si="90"/>
        <v>0</v>
      </c>
      <c r="AP177" s="40">
        <f t="shared" si="91"/>
        <v>0</v>
      </c>
      <c r="AQ177" s="17" t="s">
        <v>1260</v>
      </c>
      <c r="AV177" s="40">
        <f t="shared" si="80"/>
        <v>0</v>
      </c>
      <c r="AW177" s="40">
        <f t="shared" si="81"/>
        <v>0</v>
      </c>
      <c r="AX177" s="40">
        <f t="shared" si="82"/>
        <v>0</v>
      </c>
      <c r="AY177" s="17" t="s">
        <v>106</v>
      </c>
      <c r="AZ177" s="17" t="s">
        <v>449</v>
      </c>
      <c r="BA177" s="11" t="s">
        <v>871</v>
      </c>
      <c r="BC177" s="40">
        <f t="shared" si="83"/>
        <v>0</v>
      </c>
      <c r="BD177" s="40">
        <f t="shared" si="84"/>
        <v>0</v>
      </c>
      <c r="BE177" s="40">
        <v>0</v>
      </c>
      <c r="BF177" s="40">
        <f>177</f>
        <v>177</v>
      </c>
      <c r="BH177" s="40">
        <f t="shared" si="85"/>
        <v>0</v>
      </c>
      <c r="BI177" s="40">
        <f t="shared" si="86"/>
        <v>0</v>
      </c>
      <c r="BJ177" s="40">
        <f t="shared" si="87"/>
        <v>0</v>
      </c>
      <c r="BK177" s="40"/>
      <c r="BL177" s="40">
        <v>89</v>
      </c>
    </row>
    <row r="178" spans="1:64" ht="15" customHeight="1">
      <c r="A178" s="19" t="s">
        <v>569</v>
      </c>
      <c r="B178" s="59" t="s">
        <v>1074</v>
      </c>
      <c r="C178" s="76" t="s">
        <v>639</v>
      </c>
      <c r="D178" s="76"/>
      <c r="E178" s="76"/>
      <c r="F178" s="76"/>
      <c r="G178" s="59" t="s">
        <v>312</v>
      </c>
      <c r="H178" s="40">
        <v>40</v>
      </c>
      <c r="I178" s="40">
        <v>0</v>
      </c>
      <c r="J178" s="40">
        <f t="shared" si="66"/>
        <v>0</v>
      </c>
      <c r="K178" s="40">
        <f t="shared" si="67"/>
        <v>0</v>
      </c>
      <c r="L178" s="40">
        <f t="shared" si="68"/>
        <v>0</v>
      </c>
      <c r="M178" s="69" t="s">
        <v>868</v>
      </c>
      <c r="Z178" s="40">
        <f t="shared" si="69"/>
        <v>0</v>
      </c>
      <c r="AB178" s="40">
        <f t="shared" si="70"/>
        <v>0</v>
      </c>
      <c r="AC178" s="40">
        <f t="shared" si="71"/>
        <v>0</v>
      </c>
      <c r="AD178" s="40">
        <f t="shared" si="72"/>
        <v>0</v>
      </c>
      <c r="AE178" s="40">
        <f t="shared" si="73"/>
        <v>0</v>
      </c>
      <c r="AF178" s="40">
        <f t="shared" si="74"/>
        <v>0</v>
      </c>
      <c r="AG178" s="40">
        <f t="shared" si="75"/>
        <v>0</v>
      </c>
      <c r="AH178" s="40">
        <f t="shared" si="76"/>
        <v>0</v>
      </c>
      <c r="AI178" s="11" t="s">
        <v>110</v>
      </c>
      <c r="AJ178" s="40">
        <f t="shared" si="77"/>
        <v>0</v>
      </c>
      <c r="AK178" s="40">
        <f t="shared" si="78"/>
        <v>0</v>
      </c>
      <c r="AL178" s="40">
        <f t="shared" si="79"/>
        <v>0</v>
      </c>
      <c r="AN178" s="40">
        <v>21</v>
      </c>
      <c r="AO178" s="40">
        <f t="shared" si="90"/>
        <v>0</v>
      </c>
      <c r="AP178" s="40">
        <f t="shared" si="91"/>
        <v>0</v>
      </c>
      <c r="AQ178" s="17" t="s">
        <v>1260</v>
      </c>
      <c r="AV178" s="40">
        <f t="shared" si="80"/>
        <v>0</v>
      </c>
      <c r="AW178" s="40">
        <f t="shared" si="81"/>
        <v>0</v>
      </c>
      <c r="AX178" s="40">
        <f t="shared" si="82"/>
        <v>0</v>
      </c>
      <c r="AY178" s="17" t="s">
        <v>106</v>
      </c>
      <c r="AZ178" s="17" t="s">
        <v>449</v>
      </c>
      <c r="BA178" s="11" t="s">
        <v>871</v>
      </c>
      <c r="BC178" s="40">
        <f t="shared" si="83"/>
        <v>0</v>
      </c>
      <c r="BD178" s="40">
        <f t="shared" si="84"/>
        <v>0</v>
      </c>
      <c r="BE178" s="40">
        <v>0</v>
      </c>
      <c r="BF178" s="40">
        <f>178</f>
        <v>178</v>
      </c>
      <c r="BH178" s="40">
        <f t="shared" si="85"/>
        <v>0</v>
      </c>
      <c r="BI178" s="40">
        <f t="shared" si="86"/>
        <v>0</v>
      </c>
      <c r="BJ178" s="40">
        <f t="shared" si="87"/>
        <v>0</v>
      </c>
      <c r="BK178" s="40"/>
      <c r="BL178" s="40">
        <v>89</v>
      </c>
    </row>
    <row r="179" spans="1:64" ht="15" customHeight="1">
      <c r="A179" s="19" t="s">
        <v>513</v>
      </c>
      <c r="B179" s="59" t="s">
        <v>966</v>
      </c>
      <c r="C179" s="76" t="s">
        <v>993</v>
      </c>
      <c r="D179" s="76"/>
      <c r="E179" s="76"/>
      <c r="F179" s="76"/>
      <c r="G179" s="59" t="s">
        <v>312</v>
      </c>
      <c r="H179" s="40">
        <v>40</v>
      </c>
      <c r="I179" s="40">
        <v>0</v>
      </c>
      <c r="J179" s="40">
        <f t="shared" si="66"/>
        <v>0</v>
      </c>
      <c r="K179" s="40">
        <f t="shared" si="67"/>
        <v>0</v>
      </c>
      <c r="L179" s="40">
        <f t="shared" si="68"/>
        <v>0</v>
      </c>
      <c r="M179" s="69" t="s">
        <v>868</v>
      </c>
      <c r="Z179" s="40">
        <f t="shared" si="69"/>
        <v>0</v>
      </c>
      <c r="AB179" s="40">
        <f t="shared" si="70"/>
        <v>0</v>
      </c>
      <c r="AC179" s="40">
        <f t="shared" si="71"/>
        <v>0</v>
      </c>
      <c r="AD179" s="40">
        <f t="shared" si="72"/>
        <v>0</v>
      </c>
      <c r="AE179" s="40">
        <f t="shared" si="73"/>
        <v>0</v>
      </c>
      <c r="AF179" s="40">
        <f t="shared" si="74"/>
        <v>0</v>
      </c>
      <c r="AG179" s="40">
        <f t="shared" si="75"/>
        <v>0</v>
      </c>
      <c r="AH179" s="40">
        <f t="shared" si="76"/>
        <v>0</v>
      </c>
      <c r="AI179" s="11" t="s">
        <v>110</v>
      </c>
      <c r="AJ179" s="40">
        <f t="shared" si="77"/>
        <v>0</v>
      </c>
      <c r="AK179" s="40">
        <f t="shared" si="78"/>
        <v>0</v>
      </c>
      <c r="AL179" s="40">
        <f t="shared" si="79"/>
        <v>0</v>
      </c>
      <c r="AN179" s="40">
        <v>21</v>
      </c>
      <c r="AO179" s="40">
        <f t="shared" si="90"/>
        <v>0</v>
      </c>
      <c r="AP179" s="40">
        <f t="shared" si="91"/>
        <v>0</v>
      </c>
      <c r="AQ179" s="17" t="s">
        <v>1260</v>
      </c>
      <c r="AV179" s="40">
        <f t="shared" si="80"/>
        <v>0</v>
      </c>
      <c r="AW179" s="40">
        <f t="shared" si="81"/>
        <v>0</v>
      </c>
      <c r="AX179" s="40">
        <f t="shared" si="82"/>
        <v>0</v>
      </c>
      <c r="AY179" s="17" t="s">
        <v>106</v>
      </c>
      <c r="AZ179" s="17" t="s">
        <v>449</v>
      </c>
      <c r="BA179" s="11" t="s">
        <v>871</v>
      </c>
      <c r="BC179" s="40">
        <f t="shared" si="83"/>
        <v>0</v>
      </c>
      <c r="BD179" s="40">
        <f t="shared" si="84"/>
        <v>0</v>
      </c>
      <c r="BE179" s="40">
        <v>0</v>
      </c>
      <c r="BF179" s="40">
        <f>179</f>
        <v>179</v>
      </c>
      <c r="BH179" s="40">
        <f t="shared" si="85"/>
        <v>0</v>
      </c>
      <c r="BI179" s="40">
        <f t="shared" si="86"/>
        <v>0</v>
      </c>
      <c r="BJ179" s="40">
        <f t="shared" si="87"/>
        <v>0</v>
      </c>
      <c r="BK179" s="40"/>
      <c r="BL179" s="40">
        <v>89</v>
      </c>
    </row>
    <row r="180" spans="1:64" ht="15" customHeight="1">
      <c r="A180" s="19" t="s">
        <v>227</v>
      </c>
      <c r="B180" s="59" t="s">
        <v>145</v>
      </c>
      <c r="C180" s="76" t="s">
        <v>693</v>
      </c>
      <c r="D180" s="76"/>
      <c r="E180" s="76"/>
      <c r="F180" s="76"/>
      <c r="G180" s="59" t="s">
        <v>312</v>
      </c>
      <c r="H180" s="40">
        <v>40</v>
      </c>
      <c r="I180" s="40">
        <v>0</v>
      </c>
      <c r="J180" s="40">
        <f t="shared" si="66"/>
        <v>0</v>
      </c>
      <c r="K180" s="40">
        <f t="shared" si="67"/>
        <v>0</v>
      </c>
      <c r="L180" s="40">
        <f t="shared" si="68"/>
        <v>0</v>
      </c>
      <c r="M180" s="69" t="s">
        <v>868</v>
      </c>
      <c r="Z180" s="40">
        <f t="shared" si="69"/>
        <v>0</v>
      </c>
      <c r="AB180" s="40">
        <f t="shared" si="70"/>
        <v>0</v>
      </c>
      <c r="AC180" s="40">
        <f t="shared" si="71"/>
        <v>0</v>
      </c>
      <c r="AD180" s="40">
        <f t="shared" si="72"/>
        <v>0</v>
      </c>
      <c r="AE180" s="40">
        <f t="shared" si="73"/>
        <v>0</v>
      </c>
      <c r="AF180" s="40">
        <f t="shared" si="74"/>
        <v>0</v>
      </c>
      <c r="AG180" s="40">
        <f t="shared" si="75"/>
        <v>0</v>
      </c>
      <c r="AH180" s="40">
        <f t="shared" si="76"/>
        <v>0</v>
      </c>
      <c r="AI180" s="11" t="s">
        <v>110</v>
      </c>
      <c r="AJ180" s="40">
        <f t="shared" si="77"/>
        <v>0</v>
      </c>
      <c r="AK180" s="40">
        <f t="shared" si="78"/>
        <v>0</v>
      </c>
      <c r="AL180" s="40">
        <f t="shared" si="79"/>
        <v>0</v>
      </c>
      <c r="AN180" s="40">
        <v>21</v>
      </c>
      <c r="AO180" s="40">
        <f t="shared" si="90"/>
        <v>0</v>
      </c>
      <c r="AP180" s="40">
        <f t="shared" si="91"/>
        <v>0</v>
      </c>
      <c r="AQ180" s="17" t="s">
        <v>1260</v>
      </c>
      <c r="AV180" s="40">
        <f t="shared" si="80"/>
        <v>0</v>
      </c>
      <c r="AW180" s="40">
        <f t="shared" si="81"/>
        <v>0</v>
      </c>
      <c r="AX180" s="40">
        <f t="shared" si="82"/>
        <v>0</v>
      </c>
      <c r="AY180" s="17" t="s">
        <v>106</v>
      </c>
      <c r="AZ180" s="17" t="s">
        <v>449</v>
      </c>
      <c r="BA180" s="11" t="s">
        <v>871</v>
      </c>
      <c r="BC180" s="40">
        <f t="shared" si="83"/>
        <v>0</v>
      </c>
      <c r="BD180" s="40">
        <f t="shared" si="84"/>
        <v>0</v>
      </c>
      <c r="BE180" s="40">
        <v>0</v>
      </c>
      <c r="BF180" s="40">
        <f>180</f>
        <v>180</v>
      </c>
      <c r="BH180" s="40">
        <f t="shared" si="85"/>
        <v>0</v>
      </c>
      <c r="BI180" s="40">
        <f t="shared" si="86"/>
        <v>0</v>
      </c>
      <c r="BJ180" s="40">
        <f t="shared" si="87"/>
        <v>0</v>
      </c>
      <c r="BK180" s="40"/>
      <c r="BL180" s="40">
        <v>89</v>
      </c>
    </row>
    <row r="181" spans="1:64" ht="15" customHeight="1">
      <c r="A181" s="19" t="s">
        <v>284</v>
      </c>
      <c r="B181" s="59" t="s">
        <v>1162</v>
      </c>
      <c r="C181" s="76" t="s">
        <v>951</v>
      </c>
      <c r="D181" s="76"/>
      <c r="E181" s="76"/>
      <c r="F181" s="76"/>
      <c r="G181" s="59" t="s">
        <v>312</v>
      </c>
      <c r="H181" s="40">
        <v>40</v>
      </c>
      <c r="I181" s="40">
        <v>0</v>
      </c>
      <c r="J181" s="40">
        <f t="shared" si="66"/>
        <v>0</v>
      </c>
      <c r="K181" s="40">
        <f t="shared" si="67"/>
        <v>0</v>
      </c>
      <c r="L181" s="40">
        <f t="shared" si="68"/>
        <v>0</v>
      </c>
      <c r="M181" s="69" t="s">
        <v>868</v>
      </c>
      <c r="Z181" s="40">
        <f t="shared" si="69"/>
        <v>0</v>
      </c>
      <c r="AB181" s="40">
        <f t="shared" si="70"/>
        <v>0</v>
      </c>
      <c r="AC181" s="40">
        <f t="shared" si="71"/>
        <v>0</v>
      </c>
      <c r="AD181" s="40">
        <f t="shared" si="72"/>
        <v>0</v>
      </c>
      <c r="AE181" s="40">
        <f t="shared" si="73"/>
        <v>0</v>
      </c>
      <c r="AF181" s="40">
        <f t="shared" si="74"/>
        <v>0</v>
      </c>
      <c r="AG181" s="40">
        <f t="shared" si="75"/>
        <v>0</v>
      </c>
      <c r="AH181" s="40">
        <f t="shared" si="76"/>
        <v>0</v>
      </c>
      <c r="AI181" s="11" t="s">
        <v>110</v>
      </c>
      <c r="AJ181" s="40">
        <f t="shared" si="77"/>
        <v>0</v>
      </c>
      <c r="AK181" s="40">
        <f t="shared" si="78"/>
        <v>0</v>
      </c>
      <c r="AL181" s="40">
        <f t="shared" si="79"/>
        <v>0</v>
      </c>
      <c r="AN181" s="40">
        <v>21</v>
      </c>
      <c r="AO181" s="40">
        <f t="shared" si="90"/>
        <v>0</v>
      </c>
      <c r="AP181" s="40">
        <f t="shared" si="91"/>
        <v>0</v>
      </c>
      <c r="AQ181" s="17" t="s">
        <v>1260</v>
      </c>
      <c r="AV181" s="40">
        <f t="shared" si="80"/>
        <v>0</v>
      </c>
      <c r="AW181" s="40">
        <f t="shared" si="81"/>
        <v>0</v>
      </c>
      <c r="AX181" s="40">
        <f t="shared" si="82"/>
        <v>0</v>
      </c>
      <c r="AY181" s="17" t="s">
        <v>106</v>
      </c>
      <c r="AZ181" s="17" t="s">
        <v>449</v>
      </c>
      <c r="BA181" s="11" t="s">
        <v>871</v>
      </c>
      <c r="BC181" s="40">
        <f t="shared" si="83"/>
        <v>0</v>
      </c>
      <c r="BD181" s="40">
        <f t="shared" si="84"/>
        <v>0</v>
      </c>
      <c r="BE181" s="40">
        <v>0</v>
      </c>
      <c r="BF181" s="40">
        <f>181</f>
        <v>181</v>
      </c>
      <c r="BH181" s="40">
        <f t="shared" si="85"/>
        <v>0</v>
      </c>
      <c r="BI181" s="40">
        <f t="shared" si="86"/>
        <v>0</v>
      </c>
      <c r="BJ181" s="40">
        <f t="shared" si="87"/>
        <v>0</v>
      </c>
      <c r="BK181" s="40"/>
      <c r="BL181" s="40">
        <v>89</v>
      </c>
    </row>
    <row r="182" spans="1:64" ht="15" customHeight="1">
      <c r="A182" s="19" t="s">
        <v>154</v>
      </c>
      <c r="B182" s="59" t="s">
        <v>401</v>
      </c>
      <c r="C182" s="76" t="s">
        <v>880</v>
      </c>
      <c r="D182" s="76"/>
      <c r="E182" s="76"/>
      <c r="F182" s="76"/>
      <c r="G182" s="59" t="s">
        <v>312</v>
      </c>
      <c r="H182" s="40">
        <v>40</v>
      </c>
      <c r="I182" s="40">
        <v>0</v>
      </c>
      <c r="J182" s="40">
        <f t="shared" si="66"/>
        <v>0</v>
      </c>
      <c r="K182" s="40">
        <f t="shared" si="67"/>
        <v>0</v>
      </c>
      <c r="L182" s="40">
        <f t="shared" si="68"/>
        <v>0</v>
      </c>
      <c r="M182" s="69" t="s">
        <v>868</v>
      </c>
      <c r="Z182" s="40">
        <f t="shared" si="69"/>
        <v>0</v>
      </c>
      <c r="AB182" s="40">
        <f t="shared" si="70"/>
        <v>0</v>
      </c>
      <c r="AC182" s="40">
        <f t="shared" si="71"/>
        <v>0</v>
      </c>
      <c r="AD182" s="40">
        <f t="shared" si="72"/>
        <v>0</v>
      </c>
      <c r="AE182" s="40">
        <f t="shared" si="73"/>
        <v>0</v>
      </c>
      <c r="AF182" s="40">
        <f t="shared" si="74"/>
        <v>0</v>
      </c>
      <c r="AG182" s="40">
        <f t="shared" si="75"/>
        <v>0</v>
      </c>
      <c r="AH182" s="40">
        <f t="shared" si="76"/>
        <v>0</v>
      </c>
      <c r="AI182" s="11" t="s">
        <v>110</v>
      </c>
      <c r="AJ182" s="40">
        <f t="shared" si="77"/>
        <v>0</v>
      </c>
      <c r="AK182" s="40">
        <f t="shared" si="78"/>
        <v>0</v>
      </c>
      <c r="AL182" s="40">
        <f t="shared" si="79"/>
        <v>0</v>
      </c>
      <c r="AN182" s="40">
        <v>21</v>
      </c>
      <c r="AO182" s="40">
        <f>I182*0.0120971074380165</f>
        <v>0</v>
      </c>
      <c r="AP182" s="40">
        <f>I182*(1-0.0120971074380165)</f>
        <v>0</v>
      </c>
      <c r="AQ182" s="17" t="s">
        <v>1260</v>
      </c>
      <c r="AV182" s="40">
        <f t="shared" si="80"/>
        <v>0</v>
      </c>
      <c r="AW182" s="40">
        <f t="shared" si="81"/>
        <v>0</v>
      </c>
      <c r="AX182" s="40">
        <f t="shared" si="82"/>
        <v>0</v>
      </c>
      <c r="AY182" s="17" t="s">
        <v>106</v>
      </c>
      <c r="AZ182" s="17" t="s">
        <v>449</v>
      </c>
      <c r="BA182" s="11" t="s">
        <v>871</v>
      </c>
      <c r="BC182" s="40">
        <f t="shared" si="83"/>
        <v>0</v>
      </c>
      <c r="BD182" s="40">
        <f t="shared" si="84"/>
        <v>0</v>
      </c>
      <c r="BE182" s="40">
        <v>0</v>
      </c>
      <c r="BF182" s="40">
        <f>182</f>
        <v>182</v>
      </c>
      <c r="BH182" s="40">
        <f t="shared" si="85"/>
        <v>0</v>
      </c>
      <c r="BI182" s="40">
        <f t="shared" si="86"/>
        <v>0</v>
      </c>
      <c r="BJ182" s="40">
        <f t="shared" si="87"/>
        <v>0</v>
      </c>
      <c r="BK182" s="40"/>
      <c r="BL182" s="40">
        <v>89</v>
      </c>
    </row>
    <row r="183" spans="1:64" ht="15" customHeight="1">
      <c r="A183" s="19" t="s">
        <v>186</v>
      </c>
      <c r="B183" s="59" t="s">
        <v>1182</v>
      </c>
      <c r="C183" s="76" t="s">
        <v>523</v>
      </c>
      <c r="D183" s="76"/>
      <c r="E183" s="76"/>
      <c r="F183" s="76"/>
      <c r="G183" s="59" t="s">
        <v>312</v>
      </c>
      <c r="H183" s="40">
        <v>40</v>
      </c>
      <c r="I183" s="40">
        <v>0</v>
      </c>
      <c r="J183" s="40">
        <f t="shared" si="66"/>
        <v>0</v>
      </c>
      <c r="K183" s="40">
        <f t="shared" si="67"/>
        <v>0</v>
      </c>
      <c r="L183" s="40">
        <f t="shared" si="68"/>
        <v>0</v>
      </c>
      <c r="M183" s="69" t="s">
        <v>868</v>
      </c>
      <c r="Z183" s="40">
        <f t="shared" si="69"/>
        <v>0</v>
      </c>
      <c r="AB183" s="40">
        <f t="shared" si="70"/>
        <v>0</v>
      </c>
      <c r="AC183" s="40">
        <f t="shared" si="71"/>
        <v>0</v>
      </c>
      <c r="AD183" s="40">
        <f t="shared" si="72"/>
        <v>0</v>
      </c>
      <c r="AE183" s="40">
        <f t="shared" si="73"/>
        <v>0</v>
      </c>
      <c r="AF183" s="40">
        <f t="shared" si="74"/>
        <v>0</v>
      </c>
      <c r="AG183" s="40">
        <f t="shared" si="75"/>
        <v>0</v>
      </c>
      <c r="AH183" s="40">
        <f t="shared" si="76"/>
        <v>0</v>
      </c>
      <c r="AI183" s="11" t="s">
        <v>110</v>
      </c>
      <c r="AJ183" s="40">
        <f t="shared" si="77"/>
        <v>0</v>
      </c>
      <c r="AK183" s="40">
        <f t="shared" si="78"/>
        <v>0</v>
      </c>
      <c r="AL183" s="40">
        <f t="shared" si="79"/>
        <v>0</v>
      </c>
      <c r="AN183" s="40">
        <v>21</v>
      </c>
      <c r="AO183" s="40">
        <f>I183*1</f>
        <v>0</v>
      </c>
      <c r="AP183" s="40">
        <f>I183*(1-1)</f>
        <v>0</v>
      </c>
      <c r="AQ183" s="17" t="s">
        <v>1260</v>
      </c>
      <c r="AV183" s="40">
        <f t="shared" si="80"/>
        <v>0</v>
      </c>
      <c r="AW183" s="40">
        <f t="shared" si="81"/>
        <v>0</v>
      </c>
      <c r="AX183" s="40">
        <f t="shared" si="82"/>
        <v>0</v>
      </c>
      <c r="AY183" s="17" t="s">
        <v>106</v>
      </c>
      <c r="AZ183" s="17" t="s">
        <v>449</v>
      </c>
      <c r="BA183" s="11" t="s">
        <v>871</v>
      </c>
      <c r="BC183" s="40">
        <f t="shared" si="83"/>
        <v>0</v>
      </c>
      <c r="BD183" s="40">
        <f t="shared" si="84"/>
        <v>0</v>
      </c>
      <c r="BE183" s="40">
        <v>0</v>
      </c>
      <c r="BF183" s="40">
        <f>183</f>
        <v>183</v>
      </c>
      <c r="BH183" s="40">
        <f t="shared" si="85"/>
        <v>0</v>
      </c>
      <c r="BI183" s="40">
        <f t="shared" si="86"/>
        <v>0</v>
      </c>
      <c r="BJ183" s="40">
        <f t="shared" si="87"/>
        <v>0</v>
      </c>
      <c r="BK183" s="40"/>
      <c r="BL183" s="40">
        <v>89</v>
      </c>
    </row>
    <row r="184" spans="1:64" ht="15" customHeight="1">
      <c r="A184" s="19" t="s">
        <v>1188</v>
      </c>
      <c r="B184" s="59" t="s">
        <v>568</v>
      </c>
      <c r="C184" s="76" t="s">
        <v>768</v>
      </c>
      <c r="D184" s="76"/>
      <c r="E184" s="76"/>
      <c r="F184" s="76"/>
      <c r="G184" s="59" t="s">
        <v>312</v>
      </c>
      <c r="H184" s="40">
        <v>1</v>
      </c>
      <c r="I184" s="40">
        <v>0</v>
      </c>
      <c r="J184" s="40">
        <f t="shared" si="66"/>
        <v>0</v>
      </c>
      <c r="K184" s="40">
        <f t="shared" si="67"/>
        <v>0</v>
      </c>
      <c r="L184" s="40">
        <f t="shared" si="68"/>
        <v>0</v>
      </c>
      <c r="M184" s="69" t="s">
        <v>868</v>
      </c>
      <c r="Z184" s="40">
        <f t="shared" si="69"/>
        <v>0</v>
      </c>
      <c r="AB184" s="40">
        <f t="shared" si="70"/>
        <v>0</v>
      </c>
      <c r="AC184" s="40">
        <f t="shared" si="71"/>
        <v>0</v>
      </c>
      <c r="AD184" s="40">
        <f t="shared" si="72"/>
        <v>0</v>
      </c>
      <c r="AE184" s="40">
        <f t="shared" si="73"/>
        <v>0</v>
      </c>
      <c r="AF184" s="40">
        <f t="shared" si="74"/>
        <v>0</v>
      </c>
      <c r="AG184" s="40">
        <f t="shared" si="75"/>
        <v>0</v>
      </c>
      <c r="AH184" s="40">
        <f t="shared" si="76"/>
        <v>0</v>
      </c>
      <c r="AI184" s="11" t="s">
        <v>110</v>
      </c>
      <c r="AJ184" s="40">
        <f t="shared" si="77"/>
        <v>0</v>
      </c>
      <c r="AK184" s="40">
        <f t="shared" si="78"/>
        <v>0</v>
      </c>
      <c r="AL184" s="40">
        <f t="shared" si="79"/>
        <v>0</v>
      </c>
      <c r="AN184" s="40">
        <v>21</v>
      </c>
      <c r="AO184" s="40">
        <f>I184*0</f>
        <v>0</v>
      </c>
      <c r="AP184" s="40">
        <f>I184*(1-0)</f>
        <v>0</v>
      </c>
      <c r="AQ184" s="17" t="s">
        <v>1260</v>
      </c>
      <c r="AV184" s="40">
        <f t="shared" si="80"/>
        <v>0</v>
      </c>
      <c r="AW184" s="40">
        <f t="shared" si="81"/>
        <v>0</v>
      </c>
      <c r="AX184" s="40">
        <f t="shared" si="82"/>
        <v>0</v>
      </c>
      <c r="AY184" s="17" t="s">
        <v>106</v>
      </c>
      <c r="AZ184" s="17" t="s">
        <v>449</v>
      </c>
      <c r="BA184" s="11" t="s">
        <v>871</v>
      </c>
      <c r="BC184" s="40">
        <f t="shared" si="83"/>
        <v>0</v>
      </c>
      <c r="BD184" s="40">
        <f t="shared" si="84"/>
        <v>0</v>
      </c>
      <c r="BE184" s="40">
        <v>0</v>
      </c>
      <c r="BF184" s="40">
        <f>184</f>
        <v>184</v>
      </c>
      <c r="BH184" s="40">
        <f t="shared" si="85"/>
        <v>0</v>
      </c>
      <c r="BI184" s="40">
        <f t="shared" si="86"/>
        <v>0</v>
      </c>
      <c r="BJ184" s="40">
        <f t="shared" si="87"/>
        <v>0</v>
      </c>
      <c r="BK184" s="40"/>
      <c r="BL184" s="40">
        <v>89</v>
      </c>
    </row>
    <row r="185" spans="1:64" ht="15" customHeight="1">
      <c r="A185" s="19" t="s">
        <v>930</v>
      </c>
      <c r="B185" s="59" t="s">
        <v>1371</v>
      </c>
      <c r="C185" s="76" t="s">
        <v>519</v>
      </c>
      <c r="D185" s="76"/>
      <c r="E185" s="76"/>
      <c r="F185" s="76"/>
      <c r="G185" s="59" t="s">
        <v>312</v>
      </c>
      <c r="H185" s="40">
        <v>1</v>
      </c>
      <c r="I185" s="40">
        <v>0</v>
      </c>
      <c r="J185" s="40">
        <f t="shared" si="66"/>
        <v>0</v>
      </c>
      <c r="K185" s="40">
        <f t="shared" si="67"/>
        <v>0</v>
      </c>
      <c r="L185" s="40">
        <f t="shared" si="68"/>
        <v>0</v>
      </c>
      <c r="M185" s="69" t="s">
        <v>868</v>
      </c>
      <c r="Z185" s="40">
        <f t="shared" si="69"/>
        <v>0</v>
      </c>
      <c r="AB185" s="40">
        <f t="shared" si="70"/>
        <v>0</v>
      </c>
      <c r="AC185" s="40">
        <f t="shared" si="71"/>
        <v>0</v>
      </c>
      <c r="AD185" s="40">
        <f t="shared" si="72"/>
        <v>0</v>
      </c>
      <c r="AE185" s="40">
        <f t="shared" si="73"/>
        <v>0</v>
      </c>
      <c r="AF185" s="40">
        <f t="shared" si="74"/>
        <v>0</v>
      </c>
      <c r="AG185" s="40">
        <f t="shared" si="75"/>
        <v>0</v>
      </c>
      <c r="AH185" s="40">
        <f t="shared" si="76"/>
        <v>0</v>
      </c>
      <c r="AI185" s="11" t="s">
        <v>110</v>
      </c>
      <c r="AJ185" s="40">
        <f t="shared" si="77"/>
        <v>0</v>
      </c>
      <c r="AK185" s="40">
        <f t="shared" si="78"/>
        <v>0</v>
      </c>
      <c r="AL185" s="40">
        <f t="shared" si="79"/>
        <v>0</v>
      </c>
      <c r="AN185" s="40">
        <v>21</v>
      </c>
      <c r="AO185" s="40">
        <f>I185*1</f>
        <v>0</v>
      </c>
      <c r="AP185" s="40">
        <f>I185*(1-1)</f>
        <v>0</v>
      </c>
      <c r="AQ185" s="17" t="s">
        <v>1260</v>
      </c>
      <c r="AV185" s="40">
        <f t="shared" si="80"/>
        <v>0</v>
      </c>
      <c r="AW185" s="40">
        <f t="shared" si="81"/>
        <v>0</v>
      </c>
      <c r="AX185" s="40">
        <f t="shared" si="82"/>
        <v>0</v>
      </c>
      <c r="AY185" s="17" t="s">
        <v>106</v>
      </c>
      <c r="AZ185" s="17" t="s">
        <v>449</v>
      </c>
      <c r="BA185" s="11" t="s">
        <v>871</v>
      </c>
      <c r="BC185" s="40">
        <f t="shared" si="83"/>
        <v>0</v>
      </c>
      <c r="BD185" s="40">
        <f t="shared" si="84"/>
        <v>0</v>
      </c>
      <c r="BE185" s="40">
        <v>0</v>
      </c>
      <c r="BF185" s="40">
        <f>185</f>
        <v>185</v>
      </c>
      <c r="BH185" s="40">
        <f t="shared" si="85"/>
        <v>0</v>
      </c>
      <c r="BI185" s="40">
        <f t="shared" si="86"/>
        <v>0</v>
      </c>
      <c r="BJ185" s="40">
        <f t="shared" si="87"/>
        <v>0</v>
      </c>
      <c r="BK185" s="40"/>
      <c r="BL185" s="40">
        <v>89</v>
      </c>
    </row>
    <row r="186" spans="1:64" ht="15" customHeight="1">
      <c r="A186" s="19" t="s">
        <v>594</v>
      </c>
      <c r="B186" s="59" t="s">
        <v>18</v>
      </c>
      <c r="C186" s="76" t="s">
        <v>785</v>
      </c>
      <c r="D186" s="76"/>
      <c r="E186" s="76"/>
      <c r="F186" s="76"/>
      <c r="G186" s="59" t="s">
        <v>312</v>
      </c>
      <c r="H186" s="40">
        <v>3</v>
      </c>
      <c r="I186" s="40">
        <v>0</v>
      </c>
      <c r="J186" s="40">
        <f t="shared" si="66"/>
        <v>0</v>
      </c>
      <c r="K186" s="40">
        <f t="shared" si="67"/>
        <v>0</v>
      </c>
      <c r="L186" s="40">
        <f t="shared" si="68"/>
        <v>0</v>
      </c>
      <c r="M186" s="69" t="s">
        <v>868</v>
      </c>
      <c r="Z186" s="40">
        <f t="shared" si="69"/>
        <v>0</v>
      </c>
      <c r="AB186" s="40">
        <f t="shared" si="70"/>
        <v>0</v>
      </c>
      <c r="AC186" s="40">
        <f t="shared" si="71"/>
        <v>0</v>
      </c>
      <c r="AD186" s="40">
        <f t="shared" si="72"/>
        <v>0</v>
      </c>
      <c r="AE186" s="40">
        <f t="shared" si="73"/>
        <v>0</v>
      </c>
      <c r="AF186" s="40">
        <f t="shared" si="74"/>
        <v>0</v>
      </c>
      <c r="AG186" s="40">
        <f t="shared" si="75"/>
        <v>0</v>
      </c>
      <c r="AH186" s="40">
        <f t="shared" si="76"/>
        <v>0</v>
      </c>
      <c r="AI186" s="11" t="s">
        <v>110</v>
      </c>
      <c r="AJ186" s="40">
        <f t="shared" si="77"/>
        <v>0</v>
      </c>
      <c r="AK186" s="40">
        <f t="shared" si="78"/>
        <v>0</v>
      </c>
      <c r="AL186" s="40">
        <f t="shared" si="79"/>
        <v>0</v>
      </c>
      <c r="AN186" s="40">
        <v>21</v>
      </c>
      <c r="AO186" s="40">
        <f>I186*0.283358942464818</f>
        <v>0</v>
      </c>
      <c r="AP186" s="40">
        <f>I186*(1-0.283358942464818)</f>
        <v>0</v>
      </c>
      <c r="AQ186" s="17" t="s">
        <v>1260</v>
      </c>
      <c r="AV186" s="40">
        <f t="shared" si="80"/>
        <v>0</v>
      </c>
      <c r="AW186" s="40">
        <f t="shared" si="81"/>
        <v>0</v>
      </c>
      <c r="AX186" s="40">
        <f t="shared" si="82"/>
        <v>0</v>
      </c>
      <c r="AY186" s="17" t="s">
        <v>106</v>
      </c>
      <c r="AZ186" s="17" t="s">
        <v>449</v>
      </c>
      <c r="BA186" s="11" t="s">
        <v>871</v>
      </c>
      <c r="BC186" s="40">
        <f t="shared" si="83"/>
        <v>0</v>
      </c>
      <c r="BD186" s="40">
        <f t="shared" si="84"/>
        <v>0</v>
      </c>
      <c r="BE186" s="40">
        <v>0</v>
      </c>
      <c r="BF186" s="40">
        <f>186</f>
        <v>186</v>
      </c>
      <c r="BH186" s="40">
        <f t="shared" si="85"/>
        <v>0</v>
      </c>
      <c r="BI186" s="40">
        <f t="shared" si="86"/>
        <v>0</v>
      </c>
      <c r="BJ186" s="40">
        <f t="shared" si="87"/>
        <v>0</v>
      </c>
      <c r="BK186" s="40"/>
      <c r="BL186" s="40">
        <v>89</v>
      </c>
    </row>
    <row r="187" spans="1:47" ht="15" customHeight="1">
      <c r="A187" s="24" t="s">
        <v>878</v>
      </c>
      <c r="B187" s="66" t="s">
        <v>61</v>
      </c>
      <c r="C187" s="92" t="s">
        <v>444</v>
      </c>
      <c r="D187" s="92"/>
      <c r="E187" s="92"/>
      <c r="F187" s="92"/>
      <c r="G187" s="3" t="s">
        <v>1172</v>
      </c>
      <c r="H187" s="3" t="s">
        <v>1172</v>
      </c>
      <c r="I187" s="3" t="s">
        <v>1172</v>
      </c>
      <c r="J187" s="63">
        <f>SUM(J188:J188)</f>
        <v>0</v>
      </c>
      <c r="K187" s="63">
        <f>SUM(K188:K188)</f>
        <v>0</v>
      </c>
      <c r="L187" s="63">
        <f>SUM(L188:L188)</f>
        <v>0</v>
      </c>
      <c r="M187" s="4" t="s">
        <v>878</v>
      </c>
      <c r="AI187" s="11" t="s">
        <v>110</v>
      </c>
      <c r="AS187" s="63">
        <f>SUM(AJ188:AJ188)</f>
        <v>0</v>
      </c>
      <c r="AT187" s="63">
        <f>SUM(AK188:AK188)</f>
        <v>0</v>
      </c>
      <c r="AU187" s="63">
        <f>SUM(AL188:AL188)</f>
        <v>0</v>
      </c>
    </row>
    <row r="188" spans="1:64" ht="15" customHeight="1">
      <c r="A188" s="19" t="s">
        <v>929</v>
      </c>
      <c r="B188" s="59" t="s">
        <v>978</v>
      </c>
      <c r="C188" s="76" t="s">
        <v>773</v>
      </c>
      <c r="D188" s="76"/>
      <c r="E188" s="76"/>
      <c r="F188" s="76"/>
      <c r="G188" s="59" t="s">
        <v>1041</v>
      </c>
      <c r="H188" s="40">
        <v>937.2</v>
      </c>
      <c r="I188" s="40">
        <v>0</v>
      </c>
      <c r="J188" s="40">
        <f>H188*AO188</f>
        <v>0</v>
      </c>
      <c r="K188" s="40">
        <f>H188*AP188</f>
        <v>0</v>
      </c>
      <c r="L188" s="40">
        <f>H188*I188</f>
        <v>0</v>
      </c>
      <c r="M188" s="69" t="s">
        <v>868</v>
      </c>
      <c r="Z188" s="40">
        <f>IF(AQ188="5",BJ188,0)</f>
        <v>0</v>
      </c>
      <c r="AB188" s="40">
        <f>IF(AQ188="1",BH188,0)</f>
        <v>0</v>
      </c>
      <c r="AC188" s="40">
        <f>IF(AQ188="1",BI188,0)</f>
        <v>0</v>
      </c>
      <c r="AD188" s="40">
        <f>IF(AQ188="7",BH188,0)</f>
        <v>0</v>
      </c>
      <c r="AE188" s="40">
        <f>IF(AQ188="7",BI188,0)</f>
        <v>0</v>
      </c>
      <c r="AF188" s="40">
        <f>IF(AQ188="2",BH188,0)</f>
        <v>0</v>
      </c>
      <c r="AG188" s="40">
        <f>IF(AQ188="2",BI188,0)</f>
        <v>0</v>
      </c>
      <c r="AH188" s="40">
        <f>IF(AQ188="0",BJ188,0)</f>
        <v>0</v>
      </c>
      <c r="AI188" s="11" t="s">
        <v>110</v>
      </c>
      <c r="AJ188" s="40">
        <f>IF(AN188=0,L188,0)</f>
        <v>0</v>
      </c>
      <c r="AK188" s="40">
        <f>IF(AN188=15,L188,0)</f>
        <v>0</v>
      </c>
      <c r="AL188" s="40">
        <f>IF(AN188=21,L188,0)</f>
        <v>0</v>
      </c>
      <c r="AN188" s="40">
        <v>21</v>
      </c>
      <c r="AO188" s="40">
        <f>I188*0.575753891205813</f>
        <v>0</v>
      </c>
      <c r="AP188" s="40">
        <f>I188*(1-0.575753891205813)</f>
        <v>0</v>
      </c>
      <c r="AQ188" s="17" t="s">
        <v>1260</v>
      </c>
      <c r="AV188" s="40">
        <f>AW188+AX188</f>
        <v>0</v>
      </c>
      <c r="AW188" s="40">
        <f>H188*AO188</f>
        <v>0</v>
      </c>
      <c r="AX188" s="40">
        <f>H188*AP188</f>
        <v>0</v>
      </c>
      <c r="AY188" s="17" t="s">
        <v>1233</v>
      </c>
      <c r="AZ188" s="17" t="s">
        <v>431</v>
      </c>
      <c r="BA188" s="11" t="s">
        <v>871</v>
      </c>
      <c r="BC188" s="40">
        <f>AW188+AX188</f>
        <v>0</v>
      </c>
      <c r="BD188" s="40">
        <f>I188/(100-BE188)*100</f>
        <v>0</v>
      </c>
      <c r="BE188" s="40">
        <v>0</v>
      </c>
      <c r="BF188" s="40">
        <f>188</f>
        <v>188</v>
      </c>
      <c r="BH188" s="40">
        <f>H188*AO188</f>
        <v>0</v>
      </c>
      <c r="BI188" s="40">
        <f>H188*AP188</f>
        <v>0</v>
      </c>
      <c r="BJ188" s="40">
        <f>H188*I188</f>
        <v>0</v>
      </c>
      <c r="BK188" s="40"/>
      <c r="BL188" s="40">
        <v>91</v>
      </c>
    </row>
    <row r="189" spans="1:47" ht="15" customHeight="1">
      <c r="A189" s="24" t="s">
        <v>878</v>
      </c>
      <c r="B189" s="66" t="s">
        <v>703</v>
      </c>
      <c r="C189" s="92" t="s">
        <v>949</v>
      </c>
      <c r="D189" s="92"/>
      <c r="E189" s="92"/>
      <c r="F189" s="92"/>
      <c r="G189" s="3" t="s">
        <v>1172</v>
      </c>
      <c r="H189" s="3" t="s">
        <v>1172</v>
      </c>
      <c r="I189" s="3" t="s">
        <v>1172</v>
      </c>
      <c r="J189" s="63">
        <f>SUM(J190:J191)</f>
        <v>0</v>
      </c>
      <c r="K189" s="63">
        <f>SUM(K190:K191)</f>
        <v>0</v>
      </c>
      <c r="L189" s="63">
        <f>SUM(L190:L191)</f>
        <v>0</v>
      </c>
      <c r="M189" s="4" t="s">
        <v>878</v>
      </c>
      <c r="AI189" s="11" t="s">
        <v>110</v>
      </c>
      <c r="AS189" s="63">
        <f>SUM(AJ190:AJ191)</f>
        <v>0</v>
      </c>
      <c r="AT189" s="63">
        <f>SUM(AK190:AK191)</f>
        <v>0</v>
      </c>
      <c r="AU189" s="63">
        <f>SUM(AL190:AL191)</f>
        <v>0</v>
      </c>
    </row>
    <row r="190" spans="1:64" ht="15" customHeight="1">
      <c r="A190" s="19" t="s">
        <v>404</v>
      </c>
      <c r="B190" s="59" t="s">
        <v>202</v>
      </c>
      <c r="C190" s="76" t="s">
        <v>36</v>
      </c>
      <c r="D190" s="76"/>
      <c r="E190" s="76"/>
      <c r="F190" s="76"/>
      <c r="G190" s="59" t="s">
        <v>1220</v>
      </c>
      <c r="H190" s="40">
        <v>1.197</v>
      </c>
      <c r="I190" s="40">
        <v>0</v>
      </c>
      <c r="J190" s="40">
        <f>H190*AO190</f>
        <v>0</v>
      </c>
      <c r="K190" s="40">
        <f>H190*AP190</f>
        <v>0</v>
      </c>
      <c r="L190" s="40">
        <f>H190*I190</f>
        <v>0</v>
      </c>
      <c r="M190" s="69" t="s">
        <v>868</v>
      </c>
      <c r="Z190" s="40">
        <f>IF(AQ190="5",BJ190,0)</f>
        <v>0</v>
      </c>
      <c r="AB190" s="40">
        <f>IF(AQ190="1",BH190,0)</f>
        <v>0</v>
      </c>
      <c r="AC190" s="40">
        <f>IF(AQ190="1",BI190,0)</f>
        <v>0</v>
      </c>
      <c r="AD190" s="40">
        <f>IF(AQ190="7",BH190,0)</f>
        <v>0</v>
      </c>
      <c r="AE190" s="40">
        <f>IF(AQ190="7",BI190,0)</f>
        <v>0</v>
      </c>
      <c r="AF190" s="40">
        <f>IF(AQ190="2",BH190,0)</f>
        <v>0</v>
      </c>
      <c r="AG190" s="40">
        <f>IF(AQ190="2",BI190,0)</f>
        <v>0</v>
      </c>
      <c r="AH190" s="40">
        <f>IF(AQ190="0",BJ190,0)</f>
        <v>0</v>
      </c>
      <c r="AI190" s="11" t="s">
        <v>110</v>
      </c>
      <c r="AJ190" s="40">
        <f>IF(AN190=0,L190,0)</f>
        <v>0</v>
      </c>
      <c r="AK190" s="40">
        <f>IF(AN190=15,L190,0)</f>
        <v>0</v>
      </c>
      <c r="AL190" s="40">
        <f>IF(AN190=21,L190,0)</f>
        <v>0</v>
      </c>
      <c r="AN190" s="40">
        <v>21</v>
      </c>
      <c r="AO190" s="40">
        <f>I190*0.0697739448342382</f>
        <v>0</v>
      </c>
      <c r="AP190" s="40">
        <f>I190*(1-0.0697739448342382)</f>
        <v>0</v>
      </c>
      <c r="AQ190" s="17" t="s">
        <v>1260</v>
      </c>
      <c r="AV190" s="40">
        <f>AW190+AX190</f>
        <v>0</v>
      </c>
      <c r="AW190" s="40">
        <f>H190*AO190</f>
        <v>0</v>
      </c>
      <c r="AX190" s="40">
        <f>H190*AP190</f>
        <v>0</v>
      </c>
      <c r="AY190" s="17" t="s">
        <v>1109</v>
      </c>
      <c r="AZ190" s="17" t="s">
        <v>431</v>
      </c>
      <c r="BA190" s="11" t="s">
        <v>871</v>
      </c>
      <c r="BC190" s="40">
        <f>AW190+AX190</f>
        <v>0</v>
      </c>
      <c r="BD190" s="40">
        <f>I190/(100-BE190)*100</f>
        <v>0</v>
      </c>
      <c r="BE190" s="40">
        <v>0</v>
      </c>
      <c r="BF190" s="40">
        <f>190</f>
        <v>190</v>
      </c>
      <c r="BH190" s="40">
        <f>H190*AO190</f>
        <v>0</v>
      </c>
      <c r="BI190" s="40">
        <f>H190*AP190</f>
        <v>0</v>
      </c>
      <c r="BJ190" s="40">
        <f>H190*I190</f>
        <v>0</v>
      </c>
      <c r="BK190" s="40"/>
      <c r="BL190" s="40">
        <v>96</v>
      </c>
    </row>
    <row r="191" spans="1:64" ht="15" customHeight="1">
      <c r="A191" s="19" t="s">
        <v>555</v>
      </c>
      <c r="B191" s="59" t="s">
        <v>667</v>
      </c>
      <c r="C191" s="76" t="s">
        <v>245</v>
      </c>
      <c r="D191" s="76"/>
      <c r="E191" s="76"/>
      <c r="F191" s="76"/>
      <c r="G191" s="59" t="s">
        <v>565</v>
      </c>
      <c r="H191" s="40">
        <v>4.8319</v>
      </c>
      <c r="I191" s="40">
        <v>0</v>
      </c>
      <c r="J191" s="40">
        <f>H191*AO191</f>
        <v>0</v>
      </c>
      <c r="K191" s="40">
        <f>H191*AP191</f>
        <v>0</v>
      </c>
      <c r="L191" s="40">
        <f>H191*I191</f>
        <v>0</v>
      </c>
      <c r="M191" s="69" t="s">
        <v>868</v>
      </c>
      <c r="Z191" s="40">
        <f>IF(AQ191="5",BJ191,0)</f>
        <v>0</v>
      </c>
      <c r="AB191" s="40">
        <f>IF(AQ191="1",BH191,0)</f>
        <v>0</v>
      </c>
      <c r="AC191" s="40">
        <f>IF(AQ191="1",BI191,0)</f>
        <v>0</v>
      </c>
      <c r="AD191" s="40">
        <f>IF(AQ191="7",BH191,0)</f>
        <v>0</v>
      </c>
      <c r="AE191" s="40">
        <f>IF(AQ191="7",BI191,0)</f>
        <v>0</v>
      </c>
      <c r="AF191" s="40">
        <f>IF(AQ191="2",BH191,0)</f>
        <v>0</v>
      </c>
      <c r="AG191" s="40">
        <f>IF(AQ191="2",BI191,0)</f>
        <v>0</v>
      </c>
      <c r="AH191" s="40">
        <f>IF(AQ191="0",BJ191,0)</f>
        <v>0</v>
      </c>
      <c r="AI191" s="11" t="s">
        <v>110</v>
      </c>
      <c r="AJ191" s="40">
        <f>IF(AN191=0,L191,0)</f>
        <v>0</v>
      </c>
      <c r="AK191" s="40">
        <f>IF(AN191=15,L191,0)</f>
        <v>0</v>
      </c>
      <c r="AL191" s="40">
        <f>IF(AN191=21,L191,0)</f>
        <v>0</v>
      </c>
      <c r="AN191" s="40">
        <v>21</v>
      </c>
      <c r="AO191" s="40">
        <f>I191*0</f>
        <v>0</v>
      </c>
      <c r="AP191" s="40">
        <f>I191*(1-0)</f>
        <v>0</v>
      </c>
      <c r="AQ191" s="17" t="s">
        <v>668</v>
      </c>
      <c r="AV191" s="40">
        <f>AW191+AX191</f>
        <v>0</v>
      </c>
      <c r="AW191" s="40">
        <f>H191*AO191</f>
        <v>0</v>
      </c>
      <c r="AX191" s="40">
        <f>H191*AP191</f>
        <v>0</v>
      </c>
      <c r="AY191" s="17" t="s">
        <v>1109</v>
      </c>
      <c r="AZ191" s="17" t="s">
        <v>431</v>
      </c>
      <c r="BA191" s="11" t="s">
        <v>871</v>
      </c>
      <c r="BC191" s="40">
        <f>AW191+AX191</f>
        <v>0</v>
      </c>
      <c r="BD191" s="40">
        <f>I191/(100-BE191)*100</f>
        <v>0</v>
      </c>
      <c r="BE191" s="40">
        <v>0</v>
      </c>
      <c r="BF191" s="40">
        <f>191</f>
        <v>191</v>
      </c>
      <c r="BH191" s="40">
        <f>H191*AO191</f>
        <v>0</v>
      </c>
      <c r="BI191" s="40">
        <f>H191*AP191</f>
        <v>0</v>
      </c>
      <c r="BJ191" s="40">
        <f>H191*I191</f>
        <v>0</v>
      </c>
      <c r="BK191" s="40"/>
      <c r="BL191" s="40">
        <v>96</v>
      </c>
    </row>
    <row r="192" spans="1:47" ht="15" customHeight="1">
      <c r="A192" s="24" t="s">
        <v>878</v>
      </c>
      <c r="B192" s="66" t="s">
        <v>153</v>
      </c>
      <c r="C192" s="92" t="s">
        <v>1396</v>
      </c>
      <c r="D192" s="92"/>
      <c r="E192" s="92"/>
      <c r="F192" s="92"/>
      <c r="G192" s="3" t="s">
        <v>1172</v>
      </c>
      <c r="H192" s="3" t="s">
        <v>1172</v>
      </c>
      <c r="I192" s="3" t="s">
        <v>1172</v>
      </c>
      <c r="J192" s="63">
        <f>SUM(J193:J194)</f>
        <v>0</v>
      </c>
      <c r="K192" s="63">
        <f>SUM(K193:K194)</f>
        <v>0</v>
      </c>
      <c r="L192" s="63">
        <f>SUM(L193:L194)</f>
        <v>0</v>
      </c>
      <c r="M192" s="4" t="s">
        <v>878</v>
      </c>
      <c r="AI192" s="11" t="s">
        <v>110</v>
      </c>
      <c r="AS192" s="63">
        <f>SUM(AJ193:AJ194)</f>
        <v>0</v>
      </c>
      <c r="AT192" s="63">
        <f>SUM(AK193:AK194)</f>
        <v>0</v>
      </c>
      <c r="AU192" s="63">
        <f>SUM(AL193:AL194)</f>
        <v>0</v>
      </c>
    </row>
    <row r="193" spans="1:64" ht="15" customHeight="1">
      <c r="A193" s="19" t="s">
        <v>361</v>
      </c>
      <c r="B193" s="59" t="s">
        <v>1310</v>
      </c>
      <c r="C193" s="76" t="s">
        <v>977</v>
      </c>
      <c r="D193" s="76"/>
      <c r="E193" s="76"/>
      <c r="F193" s="76"/>
      <c r="G193" s="59" t="s">
        <v>1041</v>
      </c>
      <c r="H193" s="40">
        <v>0.3</v>
      </c>
      <c r="I193" s="40">
        <v>0</v>
      </c>
      <c r="J193" s="40">
        <f>H193*AO193</f>
        <v>0</v>
      </c>
      <c r="K193" s="40">
        <f>H193*AP193</f>
        <v>0</v>
      </c>
      <c r="L193" s="40">
        <f>H193*I193</f>
        <v>0</v>
      </c>
      <c r="M193" s="69" t="s">
        <v>868</v>
      </c>
      <c r="Z193" s="40">
        <f>IF(AQ193="5",BJ193,0)</f>
        <v>0</v>
      </c>
      <c r="AB193" s="40">
        <f>IF(AQ193="1",BH193,0)</f>
        <v>0</v>
      </c>
      <c r="AC193" s="40">
        <f>IF(AQ193="1",BI193,0)</f>
        <v>0</v>
      </c>
      <c r="AD193" s="40">
        <f>IF(AQ193="7",BH193,0)</f>
        <v>0</v>
      </c>
      <c r="AE193" s="40">
        <f>IF(AQ193="7",BI193,0)</f>
        <v>0</v>
      </c>
      <c r="AF193" s="40">
        <f>IF(AQ193="2",BH193,0)</f>
        <v>0</v>
      </c>
      <c r="AG193" s="40">
        <f>IF(AQ193="2",BI193,0)</f>
        <v>0</v>
      </c>
      <c r="AH193" s="40">
        <f>IF(AQ193="0",BJ193,0)</f>
        <v>0</v>
      </c>
      <c r="AI193" s="11" t="s">
        <v>110</v>
      </c>
      <c r="AJ193" s="40">
        <f>IF(AN193=0,L193,0)</f>
        <v>0</v>
      </c>
      <c r="AK193" s="40">
        <f>IF(AN193=15,L193,0)</f>
        <v>0</v>
      </c>
      <c r="AL193" s="40">
        <f>IF(AN193=21,L193,0)</f>
        <v>0</v>
      </c>
      <c r="AN193" s="40">
        <v>21</v>
      </c>
      <c r="AO193" s="40">
        <f>I193*0.293572713643178</f>
        <v>0</v>
      </c>
      <c r="AP193" s="40">
        <f>I193*(1-0.293572713643178)</f>
        <v>0</v>
      </c>
      <c r="AQ193" s="17" t="s">
        <v>1260</v>
      </c>
      <c r="AV193" s="40">
        <f>AW193+AX193</f>
        <v>0</v>
      </c>
      <c r="AW193" s="40">
        <f>H193*AO193</f>
        <v>0</v>
      </c>
      <c r="AX193" s="40">
        <f>H193*AP193</f>
        <v>0</v>
      </c>
      <c r="AY193" s="17" t="s">
        <v>390</v>
      </c>
      <c r="AZ193" s="17" t="s">
        <v>431</v>
      </c>
      <c r="BA193" s="11" t="s">
        <v>871</v>
      </c>
      <c r="BC193" s="40">
        <f>AW193+AX193</f>
        <v>0</v>
      </c>
      <c r="BD193" s="40">
        <f>I193/(100-BE193)*100</f>
        <v>0</v>
      </c>
      <c r="BE193" s="40">
        <v>0</v>
      </c>
      <c r="BF193" s="40">
        <f>193</f>
        <v>193</v>
      </c>
      <c r="BH193" s="40">
        <f>H193*AO193</f>
        <v>0</v>
      </c>
      <c r="BI193" s="40">
        <f>H193*AP193</f>
        <v>0</v>
      </c>
      <c r="BJ193" s="40">
        <f>H193*I193</f>
        <v>0</v>
      </c>
      <c r="BK193" s="40"/>
      <c r="BL193" s="40">
        <v>97</v>
      </c>
    </row>
    <row r="194" spans="1:64" ht="15" customHeight="1">
      <c r="A194" s="19" t="s">
        <v>335</v>
      </c>
      <c r="B194" s="59" t="s">
        <v>374</v>
      </c>
      <c r="C194" s="76" t="s">
        <v>611</v>
      </c>
      <c r="D194" s="76"/>
      <c r="E194" s="76"/>
      <c r="F194" s="76"/>
      <c r="G194" s="59" t="s">
        <v>312</v>
      </c>
      <c r="H194" s="40">
        <v>2</v>
      </c>
      <c r="I194" s="40">
        <v>0</v>
      </c>
      <c r="J194" s="40">
        <f>H194*AO194</f>
        <v>0</v>
      </c>
      <c r="K194" s="40">
        <f>H194*AP194</f>
        <v>0</v>
      </c>
      <c r="L194" s="40">
        <f>H194*I194</f>
        <v>0</v>
      </c>
      <c r="M194" s="69" t="s">
        <v>868</v>
      </c>
      <c r="Z194" s="40">
        <f>IF(AQ194="5",BJ194,0)</f>
        <v>0</v>
      </c>
      <c r="AB194" s="40">
        <f>IF(AQ194="1",BH194,0)</f>
        <v>0</v>
      </c>
      <c r="AC194" s="40">
        <f>IF(AQ194="1",BI194,0)</f>
        <v>0</v>
      </c>
      <c r="AD194" s="40">
        <f>IF(AQ194="7",BH194,0)</f>
        <v>0</v>
      </c>
      <c r="AE194" s="40">
        <f>IF(AQ194="7",BI194,0)</f>
        <v>0</v>
      </c>
      <c r="AF194" s="40">
        <f>IF(AQ194="2",BH194,0)</f>
        <v>0</v>
      </c>
      <c r="AG194" s="40">
        <f>IF(AQ194="2",BI194,0)</f>
        <v>0</v>
      </c>
      <c r="AH194" s="40">
        <f>IF(AQ194="0",BJ194,0)</f>
        <v>0</v>
      </c>
      <c r="AI194" s="11" t="s">
        <v>110</v>
      </c>
      <c r="AJ194" s="40">
        <f>IF(AN194=0,L194,0)</f>
        <v>0</v>
      </c>
      <c r="AK194" s="40">
        <f>IF(AN194=15,L194,0)</f>
        <v>0</v>
      </c>
      <c r="AL194" s="40">
        <f>IF(AN194=21,L194,0)</f>
        <v>0</v>
      </c>
      <c r="AN194" s="40">
        <v>21</v>
      </c>
      <c r="AO194" s="40">
        <f>I194*0.0389679358717435</f>
        <v>0</v>
      </c>
      <c r="AP194" s="40">
        <f>I194*(1-0.0389679358717435)</f>
        <v>0</v>
      </c>
      <c r="AQ194" s="17" t="s">
        <v>1260</v>
      </c>
      <c r="AV194" s="40">
        <f>AW194+AX194</f>
        <v>0</v>
      </c>
      <c r="AW194" s="40">
        <f>H194*AO194</f>
        <v>0</v>
      </c>
      <c r="AX194" s="40">
        <f>H194*AP194</f>
        <v>0</v>
      </c>
      <c r="AY194" s="17" t="s">
        <v>390</v>
      </c>
      <c r="AZ194" s="17" t="s">
        <v>431</v>
      </c>
      <c r="BA194" s="11" t="s">
        <v>871</v>
      </c>
      <c r="BC194" s="40">
        <f>AW194+AX194</f>
        <v>0</v>
      </c>
      <c r="BD194" s="40">
        <f>I194/(100-BE194)*100</f>
        <v>0</v>
      </c>
      <c r="BE194" s="40">
        <v>0</v>
      </c>
      <c r="BF194" s="40">
        <f>194</f>
        <v>194</v>
      </c>
      <c r="BH194" s="40">
        <f>H194*AO194</f>
        <v>0</v>
      </c>
      <c r="BI194" s="40">
        <f>H194*AP194</f>
        <v>0</v>
      </c>
      <c r="BJ194" s="40">
        <f>H194*I194</f>
        <v>0</v>
      </c>
      <c r="BK194" s="40"/>
      <c r="BL194" s="40">
        <v>97</v>
      </c>
    </row>
    <row r="195" spans="1:47" ht="15" customHeight="1">
      <c r="A195" s="24" t="s">
        <v>878</v>
      </c>
      <c r="B195" s="66" t="s">
        <v>1335</v>
      </c>
      <c r="C195" s="92" t="s">
        <v>933</v>
      </c>
      <c r="D195" s="92"/>
      <c r="E195" s="92"/>
      <c r="F195" s="92"/>
      <c r="G195" s="3" t="s">
        <v>1172</v>
      </c>
      <c r="H195" s="3" t="s">
        <v>1172</v>
      </c>
      <c r="I195" s="3" t="s">
        <v>1172</v>
      </c>
      <c r="J195" s="63">
        <f>SUM(J196:J203)</f>
        <v>0</v>
      </c>
      <c r="K195" s="63">
        <f>SUM(K196:K203)</f>
        <v>0</v>
      </c>
      <c r="L195" s="63">
        <f>SUM(L196:L203)</f>
        <v>0</v>
      </c>
      <c r="M195" s="4" t="s">
        <v>878</v>
      </c>
      <c r="AI195" s="11" t="s">
        <v>110</v>
      </c>
      <c r="AS195" s="63">
        <f>SUM(AJ196:AJ203)</f>
        <v>0</v>
      </c>
      <c r="AT195" s="63">
        <f>SUM(AK196:AK203)</f>
        <v>0</v>
      </c>
      <c r="AU195" s="63">
        <f>SUM(AL196:AL203)</f>
        <v>0</v>
      </c>
    </row>
    <row r="196" spans="1:64" ht="15" customHeight="1">
      <c r="A196" s="19" t="s">
        <v>1282</v>
      </c>
      <c r="B196" s="59" t="s">
        <v>718</v>
      </c>
      <c r="C196" s="76" t="s">
        <v>466</v>
      </c>
      <c r="D196" s="76"/>
      <c r="E196" s="76"/>
      <c r="F196" s="76"/>
      <c r="G196" s="59" t="s">
        <v>1041</v>
      </c>
      <c r="H196" s="40">
        <v>14</v>
      </c>
      <c r="I196" s="40">
        <v>0</v>
      </c>
      <c r="J196" s="40">
        <f aca="true" t="shared" si="92" ref="J196:J203">H196*AO196</f>
        <v>0</v>
      </c>
      <c r="K196" s="40">
        <f aca="true" t="shared" si="93" ref="K196:K203">H196*AP196</f>
        <v>0</v>
      </c>
      <c r="L196" s="40">
        <f aca="true" t="shared" si="94" ref="L196:L203">H196*I196</f>
        <v>0</v>
      </c>
      <c r="M196" s="69" t="s">
        <v>868</v>
      </c>
      <c r="Z196" s="40">
        <f aca="true" t="shared" si="95" ref="Z196:Z203">IF(AQ196="5",BJ196,0)</f>
        <v>0</v>
      </c>
      <c r="AB196" s="40">
        <f aca="true" t="shared" si="96" ref="AB196:AB203">IF(AQ196="1",BH196,0)</f>
        <v>0</v>
      </c>
      <c r="AC196" s="40">
        <f aca="true" t="shared" si="97" ref="AC196:AC203">IF(AQ196="1",BI196,0)</f>
        <v>0</v>
      </c>
      <c r="AD196" s="40">
        <f aca="true" t="shared" si="98" ref="AD196:AD203">IF(AQ196="7",BH196,0)</f>
        <v>0</v>
      </c>
      <c r="AE196" s="40">
        <f aca="true" t="shared" si="99" ref="AE196:AE203">IF(AQ196="7",BI196,0)</f>
        <v>0</v>
      </c>
      <c r="AF196" s="40">
        <f aca="true" t="shared" si="100" ref="AF196:AF203">IF(AQ196="2",BH196,0)</f>
        <v>0</v>
      </c>
      <c r="AG196" s="40">
        <f aca="true" t="shared" si="101" ref="AG196:AG203">IF(AQ196="2",BI196,0)</f>
        <v>0</v>
      </c>
      <c r="AH196" s="40">
        <f aca="true" t="shared" si="102" ref="AH196:AH203">IF(AQ196="0",BJ196,0)</f>
        <v>0</v>
      </c>
      <c r="AI196" s="11" t="s">
        <v>110</v>
      </c>
      <c r="AJ196" s="40">
        <f aca="true" t="shared" si="103" ref="AJ196:AJ203">IF(AN196=0,L196,0)</f>
        <v>0</v>
      </c>
      <c r="AK196" s="40">
        <f aca="true" t="shared" si="104" ref="AK196:AK203">IF(AN196=15,L196,0)</f>
        <v>0</v>
      </c>
      <c r="AL196" s="40">
        <f aca="true" t="shared" si="105" ref="AL196:AL203">IF(AN196=21,L196,0)</f>
        <v>0</v>
      </c>
      <c r="AN196" s="40">
        <v>21</v>
      </c>
      <c r="AO196" s="40">
        <f>I196*0.285292190060076</f>
        <v>0</v>
      </c>
      <c r="AP196" s="40">
        <f>I196*(1-0.285292190060076)</f>
        <v>0</v>
      </c>
      <c r="AQ196" s="17" t="s">
        <v>873</v>
      </c>
      <c r="AV196" s="40">
        <f aca="true" t="shared" si="106" ref="AV196:AV203">AW196+AX196</f>
        <v>0</v>
      </c>
      <c r="AW196" s="40">
        <f aca="true" t="shared" si="107" ref="AW196:AW203">H196*AO196</f>
        <v>0</v>
      </c>
      <c r="AX196" s="40">
        <f aca="true" t="shared" si="108" ref="AX196:AX203">H196*AP196</f>
        <v>0</v>
      </c>
      <c r="AY196" s="17" t="s">
        <v>1173</v>
      </c>
      <c r="AZ196" s="17" t="s">
        <v>431</v>
      </c>
      <c r="BA196" s="11" t="s">
        <v>871</v>
      </c>
      <c r="BC196" s="40">
        <f aca="true" t="shared" si="109" ref="BC196:BC203">AW196+AX196</f>
        <v>0</v>
      </c>
      <c r="BD196" s="40">
        <f aca="true" t="shared" si="110" ref="BD196:BD203">I196/(100-BE196)*100</f>
        <v>0</v>
      </c>
      <c r="BE196" s="40">
        <v>0</v>
      </c>
      <c r="BF196" s="40">
        <f>196</f>
        <v>196</v>
      </c>
      <c r="BH196" s="40">
        <f aca="true" t="shared" si="111" ref="BH196:BH203">H196*AO196</f>
        <v>0</v>
      </c>
      <c r="BI196" s="40">
        <f aca="true" t="shared" si="112" ref="BI196:BI203">H196*AP196</f>
        <v>0</v>
      </c>
      <c r="BJ196" s="40">
        <f aca="true" t="shared" si="113" ref="BJ196:BJ203">H196*I196</f>
        <v>0</v>
      </c>
      <c r="BK196" s="40"/>
      <c r="BL196" s="40"/>
    </row>
    <row r="197" spans="1:64" ht="15" customHeight="1">
      <c r="A197" s="19" t="s">
        <v>453</v>
      </c>
      <c r="B197" s="59" t="s">
        <v>1083</v>
      </c>
      <c r="C197" s="76" t="s">
        <v>563</v>
      </c>
      <c r="D197" s="76"/>
      <c r="E197" s="76"/>
      <c r="F197" s="76"/>
      <c r="G197" s="59" t="s">
        <v>312</v>
      </c>
      <c r="H197" s="40">
        <v>2</v>
      </c>
      <c r="I197" s="40">
        <v>0</v>
      </c>
      <c r="J197" s="40">
        <f t="shared" si="92"/>
        <v>0</v>
      </c>
      <c r="K197" s="40">
        <f t="shared" si="93"/>
        <v>0</v>
      </c>
      <c r="L197" s="40">
        <f t="shared" si="94"/>
        <v>0</v>
      </c>
      <c r="M197" s="69" t="s">
        <v>868</v>
      </c>
      <c r="Z197" s="40">
        <f t="shared" si="95"/>
        <v>0</v>
      </c>
      <c r="AB197" s="40">
        <f t="shared" si="96"/>
        <v>0</v>
      </c>
      <c r="AC197" s="40">
        <f t="shared" si="97"/>
        <v>0</v>
      </c>
      <c r="AD197" s="40">
        <f t="shared" si="98"/>
        <v>0</v>
      </c>
      <c r="AE197" s="40">
        <f t="shared" si="99"/>
        <v>0</v>
      </c>
      <c r="AF197" s="40">
        <f t="shared" si="100"/>
        <v>0</v>
      </c>
      <c r="AG197" s="40">
        <f t="shared" si="101"/>
        <v>0</v>
      </c>
      <c r="AH197" s="40">
        <f t="shared" si="102"/>
        <v>0</v>
      </c>
      <c r="AI197" s="11" t="s">
        <v>110</v>
      </c>
      <c r="AJ197" s="40">
        <f t="shared" si="103"/>
        <v>0</v>
      </c>
      <c r="AK197" s="40">
        <f t="shared" si="104"/>
        <v>0</v>
      </c>
      <c r="AL197" s="40">
        <f t="shared" si="105"/>
        <v>0</v>
      </c>
      <c r="AN197" s="40">
        <v>21</v>
      </c>
      <c r="AO197" s="40">
        <f>I197*0</f>
        <v>0</v>
      </c>
      <c r="AP197" s="40">
        <f>I197*(1-0)</f>
        <v>0</v>
      </c>
      <c r="AQ197" s="17" t="s">
        <v>873</v>
      </c>
      <c r="AV197" s="40">
        <f t="shared" si="106"/>
        <v>0</v>
      </c>
      <c r="AW197" s="40">
        <f t="shared" si="107"/>
        <v>0</v>
      </c>
      <c r="AX197" s="40">
        <f t="shared" si="108"/>
        <v>0</v>
      </c>
      <c r="AY197" s="17" t="s">
        <v>1173</v>
      </c>
      <c r="AZ197" s="17" t="s">
        <v>431</v>
      </c>
      <c r="BA197" s="11" t="s">
        <v>871</v>
      </c>
      <c r="BC197" s="40">
        <f t="shared" si="109"/>
        <v>0</v>
      </c>
      <c r="BD197" s="40">
        <f t="shared" si="110"/>
        <v>0</v>
      </c>
      <c r="BE197" s="40">
        <v>0</v>
      </c>
      <c r="BF197" s="40">
        <f>197</f>
        <v>197</v>
      </c>
      <c r="BH197" s="40">
        <f t="shared" si="111"/>
        <v>0</v>
      </c>
      <c r="BI197" s="40">
        <f t="shared" si="112"/>
        <v>0</v>
      </c>
      <c r="BJ197" s="40">
        <f t="shared" si="113"/>
        <v>0</v>
      </c>
      <c r="BK197" s="40"/>
      <c r="BL197" s="40"/>
    </row>
    <row r="198" spans="1:64" ht="15" customHeight="1">
      <c r="A198" s="19" t="s">
        <v>348</v>
      </c>
      <c r="B198" s="59" t="s">
        <v>1061</v>
      </c>
      <c r="C198" s="76" t="s">
        <v>1192</v>
      </c>
      <c r="D198" s="76"/>
      <c r="E198" s="76"/>
      <c r="F198" s="76"/>
      <c r="G198" s="59" t="s">
        <v>1041</v>
      </c>
      <c r="H198" s="40">
        <v>52.5</v>
      </c>
      <c r="I198" s="40">
        <v>0</v>
      </c>
      <c r="J198" s="40">
        <f t="shared" si="92"/>
        <v>0</v>
      </c>
      <c r="K198" s="40">
        <f t="shared" si="93"/>
        <v>0</v>
      </c>
      <c r="L198" s="40">
        <f t="shared" si="94"/>
        <v>0</v>
      </c>
      <c r="M198" s="69" t="s">
        <v>868</v>
      </c>
      <c r="Z198" s="40">
        <f t="shared" si="95"/>
        <v>0</v>
      </c>
      <c r="AB198" s="40">
        <f t="shared" si="96"/>
        <v>0</v>
      </c>
      <c r="AC198" s="40">
        <f t="shared" si="97"/>
        <v>0</v>
      </c>
      <c r="AD198" s="40">
        <f t="shared" si="98"/>
        <v>0</v>
      </c>
      <c r="AE198" s="40">
        <f t="shared" si="99"/>
        <v>0</v>
      </c>
      <c r="AF198" s="40">
        <f t="shared" si="100"/>
        <v>0</v>
      </c>
      <c r="AG198" s="40">
        <f t="shared" si="101"/>
        <v>0</v>
      </c>
      <c r="AH198" s="40">
        <f t="shared" si="102"/>
        <v>0</v>
      </c>
      <c r="AI198" s="11" t="s">
        <v>110</v>
      </c>
      <c r="AJ198" s="40">
        <f t="shared" si="103"/>
        <v>0</v>
      </c>
      <c r="AK198" s="40">
        <f t="shared" si="104"/>
        <v>0</v>
      </c>
      <c r="AL198" s="40">
        <f t="shared" si="105"/>
        <v>0</v>
      </c>
      <c r="AN198" s="40">
        <v>21</v>
      </c>
      <c r="AO198" s="40">
        <f>I198*0.282187147688839</f>
        <v>0</v>
      </c>
      <c r="AP198" s="40">
        <f>I198*(1-0.282187147688839)</f>
        <v>0</v>
      </c>
      <c r="AQ198" s="17" t="s">
        <v>1260</v>
      </c>
      <c r="AV198" s="40">
        <f t="shared" si="106"/>
        <v>0</v>
      </c>
      <c r="AW198" s="40">
        <f t="shared" si="107"/>
        <v>0</v>
      </c>
      <c r="AX198" s="40">
        <f t="shared" si="108"/>
        <v>0</v>
      </c>
      <c r="AY198" s="17" t="s">
        <v>1173</v>
      </c>
      <c r="AZ198" s="17" t="s">
        <v>431</v>
      </c>
      <c r="BA198" s="11" t="s">
        <v>871</v>
      </c>
      <c r="BC198" s="40">
        <f t="shared" si="109"/>
        <v>0</v>
      </c>
      <c r="BD198" s="40">
        <f t="shared" si="110"/>
        <v>0</v>
      </c>
      <c r="BE198" s="40">
        <v>0</v>
      </c>
      <c r="BF198" s="40">
        <f>198</f>
        <v>198</v>
      </c>
      <c r="BH198" s="40">
        <f t="shared" si="111"/>
        <v>0</v>
      </c>
      <c r="BI198" s="40">
        <f t="shared" si="112"/>
        <v>0</v>
      </c>
      <c r="BJ198" s="40">
        <f t="shared" si="113"/>
        <v>0</v>
      </c>
      <c r="BK198" s="40"/>
      <c r="BL198" s="40"/>
    </row>
    <row r="199" spans="1:64" ht="15" customHeight="1">
      <c r="A199" s="19" t="s">
        <v>958</v>
      </c>
      <c r="B199" s="59" t="s">
        <v>579</v>
      </c>
      <c r="C199" s="76" t="s">
        <v>327</v>
      </c>
      <c r="D199" s="76"/>
      <c r="E199" s="76"/>
      <c r="F199" s="76"/>
      <c r="G199" s="59" t="s">
        <v>312</v>
      </c>
      <c r="H199" s="40">
        <v>2</v>
      </c>
      <c r="I199" s="40">
        <v>0</v>
      </c>
      <c r="J199" s="40">
        <f t="shared" si="92"/>
        <v>0</v>
      </c>
      <c r="K199" s="40">
        <f t="shared" si="93"/>
        <v>0</v>
      </c>
      <c r="L199" s="40">
        <f t="shared" si="94"/>
        <v>0</v>
      </c>
      <c r="M199" s="69" t="s">
        <v>868</v>
      </c>
      <c r="Z199" s="40">
        <f t="shared" si="95"/>
        <v>0</v>
      </c>
      <c r="AB199" s="40">
        <f t="shared" si="96"/>
        <v>0</v>
      </c>
      <c r="AC199" s="40">
        <f t="shared" si="97"/>
        <v>0</v>
      </c>
      <c r="AD199" s="40">
        <f t="shared" si="98"/>
        <v>0</v>
      </c>
      <c r="AE199" s="40">
        <f t="shared" si="99"/>
        <v>0</v>
      </c>
      <c r="AF199" s="40">
        <f t="shared" si="100"/>
        <v>0</v>
      </c>
      <c r="AG199" s="40">
        <f t="shared" si="101"/>
        <v>0</v>
      </c>
      <c r="AH199" s="40">
        <f t="shared" si="102"/>
        <v>0</v>
      </c>
      <c r="AI199" s="11" t="s">
        <v>110</v>
      </c>
      <c r="AJ199" s="40">
        <f t="shared" si="103"/>
        <v>0</v>
      </c>
      <c r="AK199" s="40">
        <f t="shared" si="104"/>
        <v>0</v>
      </c>
      <c r="AL199" s="40">
        <f t="shared" si="105"/>
        <v>0</v>
      </c>
      <c r="AN199" s="40">
        <v>21</v>
      </c>
      <c r="AO199" s="40">
        <f>I199*1</f>
        <v>0</v>
      </c>
      <c r="AP199" s="40">
        <f>I199*(1-1)</f>
        <v>0</v>
      </c>
      <c r="AQ199" s="17" t="s">
        <v>1260</v>
      </c>
      <c r="AV199" s="40">
        <f t="shared" si="106"/>
        <v>0</v>
      </c>
      <c r="AW199" s="40">
        <f t="shared" si="107"/>
        <v>0</v>
      </c>
      <c r="AX199" s="40">
        <f t="shared" si="108"/>
        <v>0</v>
      </c>
      <c r="AY199" s="17" t="s">
        <v>1173</v>
      </c>
      <c r="AZ199" s="17" t="s">
        <v>431</v>
      </c>
      <c r="BA199" s="11" t="s">
        <v>871</v>
      </c>
      <c r="BC199" s="40">
        <f t="shared" si="109"/>
        <v>0</v>
      </c>
      <c r="BD199" s="40">
        <f t="shared" si="110"/>
        <v>0</v>
      </c>
      <c r="BE199" s="40">
        <v>0</v>
      </c>
      <c r="BF199" s="40">
        <f>199</f>
        <v>199</v>
      </c>
      <c r="BH199" s="40">
        <f t="shared" si="111"/>
        <v>0</v>
      </c>
      <c r="BI199" s="40">
        <f t="shared" si="112"/>
        <v>0</v>
      </c>
      <c r="BJ199" s="40">
        <f t="shared" si="113"/>
        <v>0</v>
      </c>
      <c r="BK199" s="40"/>
      <c r="BL199" s="40"/>
    </row>
    <row r="200" spans="1:64" ht="15" customHeight="1">
      <c r="A200" s="19" t="s">
        <v>176</v>
      </c>
      <c r="B200" s="59" t="s">
        <v>1281</v>
      </c>
      <c r="C200" s="76" t="s">
        <v>872</v>
      </c>
      <c r="D200" s="76"/>
      <c r="E200" s="76"/>
      <c r="F200" s="76"/>
      <c r="G200" s="59" t="s">
        <v>312</v>
      </c>
      <c r="H200" s="40">
        <v>0</v>
      </c>
      <c r="I200" s="40">
        <v>0</v>
      </c>
      <c r="J200" s="40">
        <f t="shared" si="92"/>
        <v>0</v>
      </c>
      <c r="K200" s="40">
        <f t="shared" si="93"/>
        <v>0</v>
      </c>
      <c r="L200" s="40">
        <f t="shared" si="94"/>
        <v>0</v>
      </c>
      <c r="M200" s="69" t="s">
        <v>868</v>
      </c>
      <c r="Z200" s="40">
        <f t="shared" si="95"/>
        <v>0</v>
      </c>
      <c r="AB200" s="40">
        <f t="shared" si="96"/>
        <v>0</v>
      </c>
      <c r="AC200" s="40">
        <f t="shared" si="97"/>
        <v>0</v>
      </c>
      <c r="AD200" s="40">
        <f t="shared" si="98"/>
        <v>0</v>
      </c>
      <c r="AE200" s="40">
        <f t="shared" si="99"/>
        <v>0</v>
      </c>
      <c r="AF200" s="40">
        <f t="shared" si="100"/>
        <v>0</v>
      </c>
      <c r="AG200" s="40">
        <f t="shared" si="101"/>
        <v>0</v>
      </c>
      <c r="AH200" s="40">
        <f t="shared" si="102"/>
        <v>0</v>
      </c>
      <c r="AI200" s="11" t="s">
        <v>110</v>
      </c>
      <c r="AJ200" s="40">
        <f t="shared" si="103"/>
        <v>0</v>
      </c>
      <c r="AK200" s="40">
        <f t="shared" si="104"/>
        <v>0</v>
      </c>
      <c r="AL200" s="40">
        <f t="shared" si="105"/>
        <v>0</v>
      </c>
      <c r="AN200" s="40">
        <v>21</v>
      </c>
      <c r="AO200" s="40">
        <f>I200*0</f>
        <v>0</v>
      </c>
      <c r="AP200" s="40">
        <f>I200*(1-0)</f>
        <v>0</v>
      </c>
      <c r="AQ200" s="17" t="s">
        <v>873</v>
      </c>
      <c r="AV200" s="40">
        <f t="shared" si="106"/>
        <v>0</v>
      </c>
      <c r="AW200" s="40">
        <f t="shared" si="107"/>
        <v>0</v>
      </c>
      <c r="AX200" s="40">
        <f t="shared" si="108"/>
        <v>0</v>
      </c>
      <c r="AY200" s="17" t="s">
        <v>1173</v>
      </c>
      <c r="AZ200" s="17" t="s">
        <v>431</v>
      </c>
      <c r="BA200" s="11" t="s">
        <v>871</v>
      </c>
      <c r="BC200" s="40">
        <f t="shared" si="109"/>
        <v>0</v>
      </c>
      <c r="BD200" s="40">
        <f t="shared" si="110"/>
        <v>0</v>
      </c>
      <c r="BE200" s="40">
        <v>0</v>
      </c>
      <c r="BF200" s="40">
        <f>200</f>
        <v>200</v>
      </c>
      <c r="BH200" s="40">
        <f t="shared" si="111"/>
        <v>0</v>
      </c>
      <c r="BI200" s="40">
        <f t="shared" si="112"/>
        <v>0</v>
      </c>
      <c r="BJ200" s="40">
        <f t="shared" si="113"/>
        <v>0</v>
      </c>
      <c r="BK200" s="40"/>
      <c r="BL200" s="40"/>
    </row>
    <row r="201" spans="1:64" ht="15" customHeight="1">
      <c r="A201" s="19" t="s">
        <v>1177</v>
      </c>
      <c r="B201" s="59" t="s">
        <v>249</v>
      </c>
      <c r="C201" s="76" t="s">
        <v>1296</v>
      </c>
      <c r="D201" s="76"/>
      <c r="E201" s="76"/>
      <c r="F201" s="76"/>
      <c r="G201" s="59" t="s">
        <v>312</v>
      </c>
      <c r="H201" s="40">
        <v>10</v>
      </c>
      <c r="I201" s="40">
        <v>0</v>
      </c>
      <c r="J201" s="40">
        <f t="shared" si="92"/>
        <v>0</v>
      </c>
      <c r="K201" s="40">
        <f t="shared" si="93"/>
        <v>0</v>
      </c>
      <c r="L201" s="40">
        <f t="shared" si="94"/>
        <v>0</v>
      </c>
      <c r="M201" s="69" t="s">
        <v>868</v>
      </c>
      <c r="Z201" s="40">
        <f t="shared" si="95"/>
        <v>0</v>
      </c>
      <c r="AB201" s="40">
        <f t="shared" si="96"/>
        <v>0</v>
      </c>
      <c r="AC201" s="40">
        <f t="shared" si="97"/>
        <v>0</v>
      </c>
      <c r="AD201" s="40">
        <f t="shared" si="98"/>
        <v>0</v>
      </c>
      <c r="AE201" s="40">
        <f t="shared" si="99"/>
        <v>0</v>
      </c>
      <c r="AF201" s="40">
        <f t="shared" si="100"/>
        <v>0</v>
      </c>
      <c r="AG201" s="40">
        <f t="shared" si="101"/>
        <v>0</v>
      </c>
      <c r="AH201" s="40">
        <f t="shared" si="102"/>
        <v>0</v>
      </c>
      <c r="AI201" s="11" t="s">
        <v>110</v>
      </c>
      <c r="AJ201" s="40">
        <f t="shared" si="103"/>
        <v>0</v>
      </c>
      <c r="AK201" s="40">
        <f t="shared" si="104"/>
        <v>0</v>
      </c>
      <c r="AL201" s="40">
        <f t="shared" si="105"/>
        <v>0</v>
      </c>
      <c r="AN201" s="40">
        <v>21</v>
      </c>
      <c r="AO201" s="40">
        <f>I201*1</f>
        <v>0</v>
      </c>
      <c r="AP201" s="40">
        <f>I201*(1-1)</f>
        <v>0</v>
      </c>
      <c r="AQ201" s="17" t="s">
        <v>1260</v>
      </c>
      <c r="AV201" s="40">
        <f t="shared" si="106"/>
        <v>0</v>
      </c>
      <c r="AW201" s="40">
        <f t="shared" si="107"/>
        <v>0</v>
      </c>
      <c r="AX201" s="40">
        <f t="shared" si="108"/>
        <v>0</v>
      </c>
      <c r="AY201" s="17" t="s">
        <v>1173</v>
      </c>
      <c r="AZ201" s="17" t="s">
        <v>431</v>
      </c>
      <c r="BA201" s="11" t="s">
        <v>871</v>
      </c>
      <c r="BC201" s="40">
        <f t="shared" si="109"/>
        <v>0</v>
      </c>
      <c r="BD201" s="40">
        <f t="shared" si="110"/>
        <v>0</v>
      </c>
      <c r="BE201" s="40">
        <v>0</v>
      </c>
      <c r="BF201" s="40">
        <f>201</f>
        <v>201</v>
      </c>
      <c r="BH201" s="40">
        <f t="shared" si="111"/>
        <v>0</v>
      </c>
      <c r="BI201" s="40">
        <f t="shared" si="112"/>
        <v>0</v>
      </c>
      <c r="BJ201" s="40">
        <f t="shared" si="113"/>
        <v>0</v>
      </c>
      <c r="BK201" s="40"/>
      <c r="BL201" s="40"/>
    </row>
    <row r="202" spans="1:64" ht="15" customHeight="1">
      <c r="A202" s="19" t="s">
        <v>302</v>
      </c>
      <c r="B202" s="59" t="s">
        <v>1095</v>
      </c>
      <c r="C202" s="76" t="s">
        <v>862</v>
      </c>
      <c r="D202" s="76"/>
      <c r="E202" s="76"/>
      <c r="F202" s="76"/>
      <c r="G202" s="59" t="s">
        <v>565</v>
      </c>
      <c r="H202" s="40">
        <v>942.5266</v>
      </c>
      <c r="I202" s="40">
        <v>0</v>
      </c>
      <c r="J202" s="40">
        <f t="shared" si="92"/>
        <v>0</v>
      </c>
      <c r="K202" s="40">
        <f t="shared" si="93"/>
        <v>0</v>
      </c>
      <c r="L202" s="40">
        <f t="shared" si="94"/>
        <v>0</v>
      </c>
      <c r="M202" s="69" t="s">
        <v>868</v>
      </c>
      <c r="Z202" s="40">
        <f t="shared" si="95"/>
        <v>0</v>
      </c>
      <c r="AB202" s="40">
        <f t="shared" si="96"/>
        <v>0</v>
      </c>
      <c r="AC202" s="40">
        <f t="shared" si="97"/>
        <v>0</v>
      </c>
      <c r="AD202" s="40">
        <f t="shared" si="98"/>
        <v>0</v>
      </c>
      <c r="AE202" s="40">
        <f t="shared" si="99"/>
        <v>0</v>
      </c>
      <c r="AF202" s="40">
        <f t="shared" si="100"/>
        <v>0</v>
      </c>
      <c r="AG202" s="40">
        <f t="shared" si="101"/>
        <v>0</v>
      </c>
      <c r="AH202" s="40">
        <f t="shared" si="102"/>
        <v>0</v>
      </c>
      <c r="AI202" s="11" t="s">
        <v>110</v>
      </c>
      <c r="AJ202" s="40">
        <f t="shared" si="103"/>
        <v>0</v>
      </c>
      <c r="AK202" s="40">
        <f t="shared" si="104"/>
        <v>0</v>
      </c>
      <c r="AL202" s="40">
        <f t="shared" si="105"/>
        <v>0</v>
      </c>
      <c r="AN202" s="40">
        <v>21</v>
      </c>
      <c r="AO202" s="40">
        <f>I202*0</f>
        <v>0</v>
      </c>
      <c r="AP202" s="40">
        <f>I202*(1-0)</f>
        <v>0</v>
      </c>
      <c r="AQ202" s="17" t="s">
        <v>668</v>
      </c>
      <c r="AV202" s="40">
        <f t="shared" si="106"/>
        <v>0</v>
      </c>
      <c r="AW202" s="40">
        <f t="shared" si="107"/>
        <v>0</v>
      </c>
      <c r="AX202" s="40">
        <f t="shared" si="108"/>
        <v>0</v>
      </c>
      <c r="AY202" s="17" t="s">
        <v>1173</v>
      </c>
      <c r="AZ202" s="17" t="s">
        <v>431</v>
      </c>
      <c r="BA202" s="11" t="s">
        <v>871</v>
      </c>
      <c r="BC202" s="40">
        <f t="shared" si="109"/>
        <v>0</v>
      </c>
      <c r="BD202" s="40">
        <f t="shared" si="110"/>
        <v>0</v>
      </c>
      <c r="BE202" s="40">
        <v>0</v>
      </c>
      <c r="BF202" s="40">
        <f>202</f>
        <v>202</v>
      </c>
      <c r="BH202" s="40">
        <f t="shared" si="111"/>
        <v>0</v>
      </c>
      <c r="BI202" s="40">
        <f t="shared" si="112"/>
        <v>0</v>
      </c>
      <c r="BJ202" s="40">
        <f t="shared" si="113"/>
        <v>0</v>
      </c>
      <c r="BK202" s="40"/>
      <c r="BL202" s="40"/>
    </row>
    <row r="203" spans="1:64" ht="15" customHeight="1">
      <c r="A203" s="19" t="s">
        <v>196</v>
      </c>
      <c r="B203" s="59" t="s">
        <v>1384</v>
      </c>
      <c r="C203" s="76" t="s">
        <v>915</v>
      </c>
      <c r="D203" s="76"/>
      <c r="E203" s="76"/>
      <c r="F203" s="76"/>
      <c r="G203" s="59" t="s">
        <v>1197</v>
      </c>
      <c r="H203" s="40">
        <v>350</v>
      </c>
      <c r="I203" s="40">
        <v>0</v>
      </c>
      <c r="J203" s="40">
        <f t="shared" si="92"/>
        <v>0</v>
      </c>
      <c r="K203" s="40">
        <f t="shared" si="93"/>
        <v>0</v>
      </c>
      <c r="L203" s="40">
        <f t="shared" si="94"/>
        <v>0</v>
      </c>
      <c r="M203" s="69" t="s">
        <v>868</v>
      </c>
      <c r="Z203" s="40">
        <f t="shared" si="95"/>
        <v>0</v>
      </c>
      <c r="AB203" s="40">
        <f t="shared" si="96"/>
        <v>0</v>
      </c>
      <c r="AC203" s="40">
        <f t="shared" si="97"/>
        <v>0</v>
      </c>
      <c r="AD203" s="40">
        <f t="shared" si="98"/>
        <v>0</v>
      </c>
      <c r="AE203" s="40">
        <f t="shared" si="99"/>
        <v>0</v>
      </c>
      <c r="AF203" s="40">
        <f t="shared" si="100"/>
        <v>0</v>
      </c>
      <c r="AG203" s="40">
        <f t="shared" si="101"/>
        <v>0</v>
      </c>
      <c r="AH203" s="40">
        <f t="shared" si="102"/>
        <v>0</v>
      </c>
      <c r="AI203" s="11" t="s">
        <v>110</v>
      </c>
      <c r="AJ203" s="40">
        <f t="shared" si="103"/>
        <v>0</v>
      </c>
      <c r="AK203" s="40">
        <f t="shared" si="104"/>
        <v>0</v>
      </c>
      <c r="AL203" s="40">
        <f t="shared" si="105"/>
        <v>0</v>
      </c>
      <c r="AN203" s="40">
        <v>21</v>
      </c>
      <c r="AO203" s="40">
        <f>I203*1</f>
        <v>0</v>
      </c>
      <c r="AP203" s="40">
        <f>I203*(1-1)</f>
        <v>0</v>
      </c>
      <c r="AQ203" s="17" t="s">
        <v>1260</v>
      </c>
      <c r="AV203" s="40">
        <f t="shared" si="106"/>
        <v>0</v>
      </c>
      <c r="AW203" s="40">
        <f t="shared" si="107"/>
        <v>0</v>
      </c>
      <c r="AX203" s="40">
        <f t="shared" si="108"/>
        <v>0</v>
      </c>
      <c r="AY203" s="17" t="s">
        <v>1173</v>
      </c>
      <c r="AZ203" s="17" t="s">
        <v>431</v>
      </c>
      <c r="BA203" s="11" t="s">
        <v>871</v>
      </c>
      <c r="BC203" s="40">
        <f t="shared" si="109"/>
        <v>0</v>
      </c>
      <c r="BD203" s="40">
        <f t="shared" si="110"/>
        <v>0</v>
      </c>
      <c r="BE203" s="40">
        <v>0</v>
      </c>
      <c r="BF203" s="40">
        <f>203</f>
        <v>203</v>
      </c>
      <c r="BH203" s="40">
        <f t="shared" si="111"/>
        <v>0</v>
      </c>
      <c r="BI203" s="40">
        <f t="shared" si="112"/>
        <v>0</v>
      </c>
      <c r="BJ203" s="40">
        <f t="shared" si="113"/>
        <v>0</v>
      </c>
      <c r="BK203" s="40"/>
      <c r="BL203" s="40"/>
    </row>
    <row r="204" spans="1:13" ht="15" customHeight="1">
      <c r="A204" s="24" t="s">
        <v>878</v>
      </c>
      <c r="B204" s="66" t="s">
        <v>878</v>
      </c>
      <c r="C204" s="92" t="s">
        <v>1438</v>
      </c>
      <c r="D204" s="92"/>
      <c r="E204" s="92"/>
      <c r="F204" s="92"/>
      <c r="G204" s="3" t="s">
        <v>1172</v>
      </c>
      <c r="H204" s="3" t="s">
        <v>1172</v>
      </c>
      <c r="I204" s="3" t="s">
        <v>1172</v>
      </c>
      <c r="J204" s="63">
        <f>J205+J222+J226+J229+J232+J235+J238+J240+J243+J247+J252+J273+J302+J305+J307</f>
        <v>0</v>
      </c>
      <c r="K204" s="63">
        <f>K205+K222+K226+K229+K232+K235+K238+K240+K243+K247+K252+K273+K302+K305+K307</f>
        <v>0</v>
      </c>
      <c r="L204" s="63">
        <f>L205+L222+L226+L229+L232+L235+L238+L240+L243+L247+L252+L273+L302+L305+L307</f>
        <v>0</v>
      </c>
      <c r="M204" s="4" t="s">
        <v>878</v>
      </c>
    </row>
    <row r="205" spans="1:47" ht="15" customHeight="1">
      <c r="A205" s="24" t="s">
        <v>878</v>
      </c>
      <c r="B205" s="66" t="s">
        <v>1054</v>
      </c>
      <c r="C205" s="92" t="s">
        <v>690</v>
      </c>
      <c r="D205" s="92"/>
      <c r="E205" s="92"/>
      <c r="F205" s="92"/>
      <c r="G205" s="3" t="s">
        <v>1172</v>
      </c>
      <c r="H205" s="3" t="s">
        <v>1172</v>
      </c>
      <c r="I205" s="3" t="s">
        <v>1172</v>
      </c>
      <c r="J205" s="63">
        <f>SUM(J206:J221)</f>
        <v>0</v>
      </c>
      <c r="K205" s="63">
        <f>SUM(K206:K221)</f>
        <v>0</v>
      </c>
      <c r="L205" s="63">
        <f>SUM(L206:L221)</f>
        <v>0</v>
      </c>
      <c r="M205" s="4" t="s">
        <v>878</v>
      </c>
      <c r="AI205" s="11" t="s">
        <v>255</v>
      </c>
      <c r="AS205" s="63">
        <f>SUM(AJ206:AJ221)</f>
        <v>0</v>
      </c>
      <c r="AT205" s="63">
        <f>SUM(AK206:AK221)</f>
        <v>0</v>
      </c>
      <c r="AU205" s="63">
        <f>SUM(AL206:AL221)</f>
        <v>0</v>
      </c>
    </row>
    <row r="206" spans="1:64" ht="15" customHeight="1">
      <c r="A206" s="19" t="s">
        <v>360</v>
      </c>
      <c r="B206" s="59" t="s">
        <v>592</v>
      </c>
      <c r="C206" s="76" t="s">
        <v>772</v>
      </c>
      <c r="D206" s="76"/>
      <c r="E206" s="76"/>
      <c r="F206" s="76"/>
      <c r="G206" s="59" t="s">
        <v>541</v>
      </c>
      <c r="H206" s="40">
        <v>70</v>
      </c>
      <c r="I206" s="40">
        <v>0</v>
      </c>
      <c r="J206" s="40">
        <f aca="true" t="shared" si="114" ref="J206:J221">H206*AO206</f>
        <v>0</v>
      </c>
      <c r="K206" s="40">
        <f aca="true" t="shared" si="115" ref="K206:K221">H206*AP206</f>
        <v>0</v>
      </c>
      <c r="L206" s="40">
        <f aca="true" t="shared" si="116" ref="L206:L221">H206*I206</f>
        <v>0</v>
      </c>
      <c r="M206" s="69" t="s">
        <v>868</v>
      </c>
      <c r="Z206" s="40">
        <f aca="true" t="shared" si="117" ref="Z206:Z221">IF(AQ206="5",BJ206,0)</f>
        <v>0</v>
      </c>
      <c r="AB206" s="40">
        <f aca="true" t="shared" si="118" ref="AB206:AB221">IF(AQ206="1",BH206,0)</f>
        <v>0</v>
      </c>
      <c r="AC206" s="40">
        <f aca="true" t="shared" si="119" ref="AC206:AC221">IF(AQ206="1",BI206,0)</f>
        <v>0</v>
      </c>
      <c r="AD206" s="40">
        <f aca="true" t="shared" si="120" ref="AD206:AD221">IF(AQ206="7",BH206,0)</f>
        <v>0</v>
      </c>
      <c r="AE206" s="40">
        <f aca="true" t="shared" si="121" ref="AE206:AE221">IF(AQ206="7",BI206,0)</f>
        <v>0</v>
      </c>
      <c r="AF206" s="40">
        <f aca="true" t="shared" si="122" ref="AF206:AF221">IF(AQ206="2",BH206,0)</f>
        <v>0</v>
      </c>
      <c r="AG206" s="40">
        <f aca="true" t="shared" si="123" ref="AG206:AG221">IF(AQ206="2",BI206,0)</f>
        <v>0</v>
      </c>
      <c r="AH206" s="40">
        <f aca="true" t="shared" si="124" ref="AH206:AH221">IF(AQ206="0",BJ206,0)</f>
        <v>0</v>
      </c>
      <c r="AI206" s="11" t="s">
        <v>255</v>
      </c>
      <c r="AJ206" s="40">
        <f aca="true" t="shared" si="125" ref="AJ206:AJ221">IF(AN206=0,L206,0)</f>
        <v>0</v>
      </c>
      <c r="AK206" s="40">
        <f aca="true" t="shared" si="126" ref="AK206:AK221">IF(AN206=15,L206,0)</f>
        <v>0</v>
      </c>
      <c r="AL206" s="40">
        <f aca="true" t="shared" si="127" ref="AL206:AL221">IF(AN206=21,L206,0)</f>
        <v>0</v>
      </c>
      <c r="AN206" s="40">
        <v>21</v>
      </c>
      <c r="AO206" s="40">
        <f>I206*0</f>
        <v>0</v>
      </c>
      <c r="AP206" s="40">
        <f>I206*(1-0)</f>
        <v>0</v>
      </c>
      <c r="AQ206" s="17" t="s">
        <v>1260</v>
      </c>
      <c r="AV206" s="40">
        <f aca="true" t="shared" si="128" ref="AV206:AV221">AW206+AX206</f>
        <v>0</v>
      </c>
      <c r="AW206" s="40">
        <f aca="true" t="shared" si="129" ref="AW206:AW221">H206*AO206</f>
        <v>0</v>
      </c>
      <c r="AX206" s="40">
        <f aca="true" t="shared" si="130" ref="AX206:AX221">H206*AP206</f>
        <v>0</v>
      </c>
      <c r="AY206" s="17" t="s">
        <v>144</v>
      </c>
      <c r="AZ206" s="17" t="s">
        <v>396</v>
      </c>
      <c r="BA206" s="11" t="s">
        <v>921</v>
      </c>
      <c r="BC206" s="40">
        <f aca="true" t="shared" si="131" ref="BC206:BC221">AW206+AX206</f>
        <v>0</v>
      </c>
      <c r="BD206" s="40">
        <f aca="true" t="shared" si="132" ref="BD206:BD221">I206/(100-BE206)*100</f>
        <v>0</v>
      </c>
      <c r="BE206" s="40">
        <v>0</v>
      </c>
      <c r="BF206" s="40">
        <f>206</f>
        <v>206</v>
      </c>
      <c r="BH206" s="40">
        <f aca="true" t="shared" si="133" ref="BH206:BH221">H206*AO206</f>
        <v>0</v>
      </c>
      <c r="BI206" s="40">
        <f aca="true" t="shared" si="134" ref="BI206:BI221">H206*AP206</f>
        <v>0</v>
      </c>
      <c r="BJ206" s="40">
        <f aca="true" t="shared" si="135" ref="BJ206:BJ221">H206*I206</f>
        <v>0</v>
      </c>
      <c r="BK206" s="40"/>
      <c r="BL206" s="40">
        <v>11</v>
      </c>
    </row>
    <row r="207" spans="1:64" ht="15" customHeight="1">
      <c r="A207" s="19" t="s">
        <v>389</v>
      </c>
      <c r="B207" s="59" t="s">
        <v>362</v>
      </c>
      <c r="C207" s="76" t="s">
        <v>1190</v>
      </c>
      <c r="D207" s="76"/>
      <c r="E207" s="76"/>
      <c r="F207" s="76"/>
      <c r="G207" s="59" t="s">
        <v>1041</v>
      </c>
      <c r="H207" s="40">
        <v>15</v>
      </c>
      <c r="I207" s="40">
        <v>0</v>
      </c>
      <c r="J207" s="40">
        <f t="shared" si="114"/>
        <v>0</v>
      </c>
      <c r="K207" s="40">
        <f t="shared" si="115"/>
        <v>0</v>
      </c>
      <c r="L207" s="40">
        <f t="shared" si="116"/>
        <v>0</v>
      </c>
      <c r="M207" s="69" t="s">
        <v>868</v>
      </c>
      <c r="Z207" s="40">
        <f t="shared" si="117"/>
        <v>0</v>
      </c>
      <c r="AB207" s="40">
        <f t="shared" si="118"/>
        <v>0</v>
      </c>
      <c r="AC207" s="40">
        <f t="shared" si="119"/>
        <v>0</v>
      </c>
      <c r="AD207" s="40">
        <f t="shared" si="120"/>
        <v>0</v>
      </c>
      <c r="AE207" s="40">
        <f t="shared" si="121"/>
        <v>0</v>
      </c>
      <c r="AF207" s="40">
        <f t="shared" si="122"/>
        <v>0</v>
      </c>
      <c r="AG207" s="40">
        <f t="shared" si="123"/>
        <v>0</v>
      </c>
      <c r="AH207" s="40">
        <f t="shared" si="124"/>
        <v>0</v>
      </c>
      <c r="AI207" s="11" t="s">
        <v>255</v>
      </c>
      <c r="AJ207" s="40">
        <f t="shared" si="125"/>
        <v>0</v>
      </c>
      <c r="AK207" s="40">
        <f t="shared" si="126"/>
        <v>0</v>
      </c>
      <c r="AL207" s="40">
        <f t="shared" si="127"/>
        <v>0</v>
      </c>
      <c r="AN207" s="40">
        <v>21</v>
      </c>
      <c r="AO207" s="40">
        <f>I207*0.415735815602837</f>
        <v>0</v>
      </c>
      <c r="AP207" s="40">
        <f>I207*(1-0.415735815602837)</f>
        <v>0</v>
      </c>
      <c r="AQ207" s="17" t="s">
        <v>1260</v>
      </c>
      <c r="AV207" s="40">
        <f t="shared" si="128"/>
        <v>0</v>
      </c>
      <c r="AW207" s="40">
        <f t="shared" si="129"/>
        <v>0</v>
      </c>
      <c r="AX207" s="40">
        <f t="shared" si="130"/>
        <v>0</v>
      </c>
      <c r="AY207" s="17" t="s">
        <v>144</v>
      </c>
      <c r="AZ207" s="17" t="s">
        <v>396</v>
      </c>
      <c r="BA207" s="11" t="s">
        <v>921</v>
      </c>
      <c r="BC207" s="40">
        <f t="shared" si="131"/>
        <v>0</v>
      </c>
      <c r="BD207" s="40">
        <f t="shared" si="132"/>
        <v>0</v>
      </c>
      <c r="BE207" s="40">
        <v>0</v>
      </c>
      <c r="BF207" s="40">
        <f>207</f>
        <v>207</v>
      </c>
      <c r="BH207" s="40">
        <f t="shared" si="133"/>
        <v>0</v>
      </c>
      <c r="BI207" s="40">
        <f t="shared" si="134"/>
        <v>0</v>
      </c>
      <c r="BJ207" s="40">
        <f t="shared" si="135"/>
        <v>0</v>
      </c>
      <c r="BK207" s="40"/>
      <c r="BL207" s="40">
        <v>11</v>
      </c>
    </row>
    <row r="208" spans="1:64" ht="15" customHeight="1">
      <c r="A208" s="19" t="s">
        <v>263</v>
      </c>
      <c r="B208" s="59" t="s">
        <v>1223</v>
      </c>
      <c r="C208" s="76" t="s">
        <v>440</v>
      </c>
      <c r="D208" s="76"/>
      <c r="E208" s="76"/>
      <c r="F208" s="76"/>
      <c r="G208" s="59" t="s">
        <v>76</v>
      </c>
      <c r="H208" s="40">
        <v>70</v>
      </c>
      <c r="I208" s="40">
        <v>0</v>
      </c>
      <c r="J208" s="40">
        <f t="shared" si="114"/>
        <v>0</v>
      </c>
      <c r="K208" s="40">
        <f t="shared" si="115"/>
        <v>0</v>
      </c>
      <c r="L208" s="40">
        <f t="shared" si="116"/>
        <v>0</v>
      </c>
      <c r="M208" s="69" t="s">
        <v>868</v>
      </c>
      <c r="Z208" s="40">
        <f t="shared" si="117"/>
        <v>0</v>
      </c>
      <c r="AB208" s="40">
        <f t="shared" si="118"/>
        <v>0</v>
      </c>
      <c r="AC208" s="40">
        <f t="shared" si="119"/>
        <v>0</v>
      </c>
      <c r="AD208" s="40">
        <f t="shared" si="120"/>
        <v>0</v>
      </c>
      <c r="AE208" s="40">
        <f t="shared" si="121"/>
        <v>0</v>
      </c>
      <c r="AF208" s="40">
        <f t="shared" si="122"/>
        <v>0</v>
      </c>
      <c r="AG208" s="40">
        <f t="shared" si="123"/>
        <v>0</v>
      </c>
      <c r="AH208" s="40">
        <f t="shared" si="124"/>
        <v>0</v>
      </c>
      <c r="AI208" s="11" t="s">
        <v>255</v>
      </c>
      <c r="AJ208" s="40">
        <f t="shared" si="125"/>
        <v>0</v>
      </c>
      <c r="AK208" s="40">
        <f t="shared" si="126"/>
        <v>0</v>
      </c>
      <c r="AL208" s="40">
        <f t="shared" si="127"/>
        <v>0</v>
      </c>
      <c r="AN208" s="40">
        <v>21</v>
      </c>
      <c r="AO208" s="40">
        <f>I208*0</f>
        <v>0</v>
      </c>
      <c r="AP208" s="40">
        <f>I208*(1-0)</f>
        <v>0</v>
      </c>
      <c r="AQ208" s="17" t="s">
        <v>1260</v>
      </c>
      <c r="AV208" s="40">
        <f t="shared" si="128"/>
        <v>0</v>
      </c>
      <c r="AW208" s="40">
        <f t="shared" si="129"/>
        <v>0</v>
      </c>
      <c r="AX208" s="40">
        <f t="shared" si="130"/>
        <v>0</v>
      </c>
      <c r="AY208" s="17" t="s">
        <v>144</v>
      </c>
      <c r="AZ208" s="17" t="s">
        <v>396</v>
      </c>
      <c r="BA208" s="11" t="s">
        <v>921</v>
      </c>
      <c r="BC208" s="40">
        <f t="shared" si="131"/>
        <v>0</v>
      </c>
      <c r="BD208" s="40">
        <f t="shared" si="132"/>
        <v>0</v>
      </c>
      <c r="BE208" s="40">
        <v>0</v>
      </c>
      <c r="BF208" s="40">
        <f>208</f>
        <v>208</v>
      </c>
      <c r="BH208" s="40">
        <f t="shared" si="133"/>
        <v>0</v>
      </c>
      <c r="BI208" s="40">
        <f t="shared" si="134"/>
        <v>0</v>
      </c>
      <c r="BJ208" s="40">
        <f t="shared" si="135"/>
        <v>0</v>
      </c>
      <c r="BK208" s="40"/>
      <c r="BL208" s="40">
        <v>11</v>
      </c>
    </row>
    <row r="209" spans="1:64" ht="15" customHeight="1">
      <c r="A209" s="19" t="s">
        <v>496</v>
      </c>
      <c r="B209" s="59" t="s">
        <v>927</v>
      </c>
      <c r="C209" s="76" t="s">
        <v>796</v>
      </c>
      <c r="D209" s="76"/>
      <c r="E209" s="76"/>
      <c r="F209" s="76"/>
      <c r="G209" s="59" t="s">
        <v>1041</v>
      </c>
      <c r="H209" s="40">
        <v>19.5</v>
      </c>
      <c r="I209" s="40">
        <v>0</v>
      </c>
      <c r="J209" s="40">
        <f t="shared" si="114"/>
        <v>0</v>
      </c>
      <c r="K209" s="40">
        <f t="shared" si="115"/>
        <v>0</v>
      </c>
      <c r="L209" s="40">
        <f t="shared" si="116"/>
        <v>0</v>
      </c>
      <c r="M209" s="69" t="s">
        <v>868</v>
      </c>
      <c r="Z209" s="40">
        <f t="shared" si="117"/>
        <v>0</v>
      </c>
      <c r="AB209" s="40">
        <f t="shared" si="118"/>
        <v>0</v>
      </c>
      <c r="AC209" s="40">
        <f t="shared" si="119"/>
        <v>0</v>
      </c>
      <c r="AD209" s="40">
        <f t="shared" si="120"/>
        <v>0</v>
      </c>
      <c r="AE209" s="40">
        <f t="shared" si="121"/>
        <v>0</v>
      </c>
      <c r="AF209" s="40">
        <f t="shared" si="122"/>
        <v>0</v>
      </c>
      <c r="AG209" s="40">
        <f t="shared" si="123"/>
        <v>0</v>
      </c>
      <c r="AH209" s="40">
        <f t="shared" si="124"/>
        <v>0</v>
      </c>
      <c r="AI209" s="11" t="s">
        <v>255</v>
      </c>
      <c r="AJ209" s="40">
        <f t="shared" si="125"/>
        <v>0</v>
      </c>
      <c r="AK209" s="40">
        <f t="shared" si="126"/>
        <v>0</v>
      </c>
      <c r="AL209" s="40">
        <f t="shared" si="127"/>
        <v>0</v>
      </c>
      <c r="AN209" s="40">
        <v>21</v>
      </c>
      <c r="AO209" s="40">
        <f>I209*0.352956636005256</f>
        <v>0</v>
      </c>
      <c r="AP209" s="40">
        <f>I209*(1-0.352956636005256)</f>
        <v>0</v>
      </c>
      <c r="AQ209" s="17" t="s">
        <v>1260</v>
      </c>
      <c r="AV209" s="40">
        <f t="shared" si="128"/>
        <v>0</v>
      </c>
      <c r="AW209" s="40">
        <f t="shared" si="129"/>
        <v>0</v>
      </c>
      <c r="AX209" s="40">
        <f t="shared" si="130"/>
        <v>0</v>
      </c>
      <c r="AY209" s="17" t="s">
        <v>144</v>
      </c>
      <c r="AZ209" s="17" t="s">
        <v>396</v>
      </c>
      <c r="BA209" s="11" t="s">
        <v>921</v>
      </c>
      <c r="BC209" s="40">
        <f t="shared" si="131"/>
        <v>0</v>
      </c>
      <c r="BD209" s="40">
        <f t="shared" si="132"/>
        <v>0</v>
      </c>
      <c r="BE209" s="40">
        <v>0</v>
      </c>
      <c r="BF209" s="40">
        <f>209</f>
        <v>209</v>
      </c>
      <c r="BH209" s="40">
        <f t="shared" si="133"/>
        <v>0</v>
      </c>
      <c r="BI209" s="40">
        <f t="shared" si="134"/>
        <v>0</v>
      </c>
      <c r="BJ209" s="40">
        <f t="shared" si="135"/>
        <v>0</v>
      </c>
      <c r="BK209" s="40"/>
      <c r="BL209" s="40">
        <v>11</v>
      </c>
    </row>
    <row r="210" spans="1:64" ht="15" customHeight="1">
      <c r="A210" s="19" t="s">
        <v>476</v>
      </c>
      <c r="B210" s="59" t="s">
        <v>1268</v>
      </c>
      <c r="C210" s="76" t="s">
        <v>1082</v>
      </c>
      <c r="D210" s="76"/>
      <c r="E210" s="76"/>
      <c r="F210" s="76"/>
      <c r="G210" s="59" t="s">
        <v>1041</v>
      </c>
      <c r="H210" s="40">
        <v>16</v>
      </c>
      <c r="I210" s="40">
        <v>0</v>
      </c>
      <c r="J210" s="40">
        <f t="shared" si="114"/>
        <v>0</v>
      </c>
      <c r="K210" s="40">
        <f t="shared" si="115"/>
        <v>0</v>
      </c>
      <c r="L210" s="40">
        <f t="shared" si="116"/>
        <v>0</v>
      </c>
      <c r="M210" s="69" t="s">
        <v>868</v>
      </c>
      <c r="Z210" s="40">
        <f t="shared" si="117"/>
        <v>0</v>
      </c>
      <c r="AB210" s="40">
        <f t="shared" si="118"/>
        <v>0</v>
      </c>
      <c r="AC210" s="40">
        <f t="shared" si="119"/>
        <v>0</v>
      </c>
      <c r="AD210" s="40">
        <f t="shared" si="120"/>
        <v>0</v>
      </c>
      <c r="AE210" s="40">
        <f t="shared" si="121"/>
        <v>0</v>
      </c>
      <c r="AF210" s="40">
        <f t="shared" si="122"/>
        <v>0</v>
      </c>
      <c r="AG210" s="40">
        <f t="shared" si="123"/>
        <v>0</v>
      </c>
      <c r="AH210" s="40">
        <f t="shared" si="124"/>
        <v>0</v>
      </c>
      <c r="AI210" s="11" t="s">
        <v>255</v>
      </c>
      <c r="AJ210" s="40">
        <f t="shared" si="125"/>
        <v>0</v>
      </c>
      <c r="AK210" s="40">
        <f t="shared" si="126"/>
        <v>0</v>
      </c>
      <c r="AL210" s="40">
        <f t="shared" si="127"/>
        <v>0</v>
      </c>
      <c r="AN210" s="40">
        <v>21</v>
      </c>
      <c r="AO210" s="40">
        <f>I210*0.256844997804501</f>
        <v>0</v>
      </c>
      <c r="AP210" s="40">
        <f>I210*(1-0.256844997804501)</f>
        <v>0</v>
      </c>
      <c r="AQ210" s="17" t="s">
        <v>1260</v>
      </c>
      <c r="AV210" s="40">
        <f t="shared" si="128"/>
        <v>0</v>
      </c>
      <c r="AW210" s="40">
        <f t="shared" si="129"/>
        <v>0</v>
      </c>
      <c r="AX210" s="40">
        <f t="shared" si="130"/>
        <v>0</v>
      </c>
      <c r="AY210" s="17" t="s">
        <v>144</v>
      </c>
      <c r="AZ210" s="17" t="s">
        <v>396</v>
      </c>
      <c r="BA210" s="11" t="s">
        <v>921</v>
      </c>
      <c r="BC210" s="40">
        <f t="shared" si="131"/>
        <v>0</v>
      </c>
      <c r="BD210" s="40">
        <f t="shared" si="132"/>
        <v>0</v>
      </c>
      <c r="BE210" s="40">
        <v>0</v>
      </c>
      <c r="BF210" s="40">
        <f>210</f>
        <v>210</v>
      </c>
      <c r="BH210" s="40">
        <f t="shared" si="133"/>
        <v>0</v>
      </c>
      <c r="BI210" s="40">
        <f t="shared" si="134"/>
        <v>0</v>
      </c>
      <c r="BJ210" s="40">
        <f t="shared" si="135"/>
        <v>0</v>
      </c>
      <c r="BK210" s="40"/>
      <c r="BL210" s="40">
        <v>11</v>
      </c>
    </row>
    <row r="211" spans="1:64" ht="15" customHeight="1">
      <c r="A211" s="19" t="s">
        <v>686</v>
      </c>
      <c r="B211" s="59" t="s">
        <v>1061</v>
      </c>
      <c r="C211" s="76" t="s">
        <v>1192</v>
      </c>
      <c r="D211" s="76"/>
      <c r="E211" s="76"/>
      <c r="F211" s="76"/>
      <c r="G211" s="59" t="s">
        <v>1041</v>
      </c>
      <c r="H211" s="40">
        <v>52.5</v>
      </c>
      <c r="I211" s="40">
        <v>0</v>
      </c>
      <c r="J211" s="40">
        <f t="shared" si="114"/>
        <v>0</v>
      </c>
      <c r="K211" s="40">
        <f t="shared" si="115"/>
        <v>0</v>
      </c>
      <c r="L211" s="40">
        <f t="shared" si="116"/>
        <v>0</v>
      </c>
      <c r="M211" s="69" t="s">
        <v>868</v>
      </c>
      <c r="Z211" s="40">
        <f t="shared" si="117"/>
        <v>0</v>
      </c>
      <c r="AB211" s="40">
        <f t="shared" si="118"/>
        <v>0</v>
      </c>
      <c r="AC211" s="40">
        <f t="shared" si="119"/>
        <v>0</v>
      </c>
      <c r="AD211" s="40">
        <f t="shared" si="120"/>
        <v>0</v>
      </c>
      <c r="AE211" s="40">
        <f t="shared" si="121"/>
        <v>0</v>
      </c>
      <c r="AF211" s="40">
        <f t="shared" si="122"/>
        <v>0</v>
      </c>
      <c r="AG211" s="40">
        <f t="shared" si="123"/>
        <v>0</v>
      </c>
      <c r="AH211" s="40">
        <f t="shared" si="124"/>
        <v>0</v>
      </c>
      <c r="AI211" s="11" t="s">
        <v>255</v>
      </c>
      <c r="AJ211" s="40">
        <f t="shared" si="125"/>
        <v>0</v>
      </c>
      <c r="AK211" s="40">
        <f t="shared" si="126"/>
        <v>0</v>
      </c>
      <c r="AL211" s="40">
        <f t="shared" si="127"/>
        <v>0</v>
      </c>
      <c r="AN211" s="40">
        <v>21</v>
      </c>
      <c r="AO211" s="40">
        <f>I211*0.282187147688839</f>
        <v>0</v>
      </c>
      <c r="AP211" s="40">
        <f>I211*(1-0.282187147688839)</f>
        <v>0</v>
      </c>
      <c r="AQ211" s="17" t="s">
        <v>1260</v>
      </c>
      <c r="AV211" s="40">
        <f t="shared" si="128"/>
        <v>0</v>
      </c>
      <c r="AW211" s="40">
        <f t="shared" si="129"/>
        <v>0</v>
      </c>
      <c r="AX211" s="40">
        <f t="shared" si="130"/>
        <v>0</v>
      </c>
      <c r="AY211" s="17" t="s">
        <v>144</v>
      </c>
      <c r="AZ211" s="17" t="s">
        <v>396</v>
      </c>
      <c r="BA211" s="11" t="s">
        <v>921</v>
      </c>
      <c r="BC211" s="40">
        <f t="shared" si="131"/>
        <v>0</v>
      </c>
      <c r="BD211" s="40">
        <f t="shared" si="132"/>
        <v>0</v>
      </c>
      <c r="BE211" s="40">
        <v>0</v>
      </c>
      <c r="BF211" s="40">
        <f>211</f>
        <v>211</v>
      </c>
      <c r="BH211" s="40">
        <f t="shared" si="133"/>
        <v>0</v>
      </c>
      <c r="BI211" s="40">
        <f t="shared" si="134"/>
        <v>0</v>
      </c>
      <c r="BJ211" s="40">
        <f t="shared" si="135"/>
        <v>0</v>
      </c>
      <c r="BK211" s="40"/>
      <c r="BL211" s="40">
        <v>11</v>
      </c>
    </row>
    <row r="212" spans="1:64" ht="15" customHeight="1">
      <c r="A212" s="19" t="s">
        <v>157</v>
      </c>
      <c r="B212" s="59" t="s">
        <v>1280</v>
      </c>
      <c r="C212" s="76" t="s">
        <v>976</v>
      </c>
      <c r="D212" s="76"/>
      <c r="E212" s="76"/>
      <c r="F212" s="76"/>
      <c r="G212" s="59" t="s">
        <v>1041</v>
      </c>
      <c r="H212" s="40">
        <v>130</v>
      </c>
      <c r="I212" s="40">
        <v>0</v>
      </c>
      <c r="J212" s="40">
        <f t="shared" si="114"/>
        <v>0</v>
      </c>
      <c r="K212" s="40">
        <f t="shared" si="115"/>
        <v>0</v>
      </c>
      <c r="L212" s="40">
        <f t="shared" si="116"/>
        <v>0</v>
      </c>
      <c r="M212" s="69" t="s">
        <v>868</v>
      </c>
      <c r="Z212" s="40">
        <f t="shared" si="117"/>
        <v>0</v>
      </c>
      <c r="AB212" s="40">
        <f t="shared" si="118"/>
        <v>0</v>
      </c>
      <c r="AC212" s="40">
        <f t="shared" si="119"/>
        <v>0</v>
      </c>
      <c r="AD212" s="40">
        <f t="shared" si="120"/>
        <v>0</v>
      </c>
      <c r="AE212" s="40">
        <f t="shared" si="121"/>
        <v>0</v>
      </c>
      <c r="AF212" s="40">
        <f t="shared" si="122"/>
        <v>0</v>
      </c>
      <c r="AG212" s="40">
        <f t="shared" si="123"/>
        <v>0</v>
      </c>
      <c r="AH212" s="40">
        <f t="shared" si="124"/>
        <v>0</v>
      </c>
      <c r="AI212" s="11" t="s">
        <v>255</v>
      </c>
      <c r="AJ212" s="40">
        <f t="shared" si="125"/>
        <v>0</v>
      </c>
      <c r="AK212" s="40">
        <f t="shared" si="126"/>
        <v>0</v>
      </c>
      <c r="AL212" s="40">
        <f t="shared" si="127"/>
        <v>0</v>
      </c>
      <c r="AN212" s="40">
        <v>21</v>
      </c>
      <c r="AO212" s="40">
        <f aca="true" t="shared" si="136" ref="AO212:AO221">I212*0</f>
        <v>0</v>
      </c>
      <c r="AP212" s="40">
        <f aca="true" t="shared" si="137" ref="AP212:AP221">I212*(1-0)</f>
        <v>0</v>
      </c>
      <c r="AQ212" s="17" t="s">
        <v>1260</v>
      </c>
      <c r="AV212" s="40">
        <f t="shared" si="128"/>
        <v>0</v>
      </c>
      <c r="AW212" s="40">
        <f t="shared" si="129"/>
        <v>0</v>
      </c>
      <c r="AX212" s="40">
        <f t="shared" si="130"/>
        <v>0</v>
      </c>
      <c r="AY212" s="17" t="s">
        <v>144</v>
      </c>
      <c r="AZ212" s="17" t="s">
        <v>396</v>
      </c>
      <c r="BA212" s="11" t="s">
        <v>921</v>
      </c>
      <c r="BC212" s="40">
        <f t="shared" si="131"/>
        <v>0</v>
      </c>
      <c r="BD212" s="40">
        <f t="shared" si="132"/>
        <v>0</v>
      </c>
      <c r="BE212" s="40">
        <v>0</v>
      </c>
      <c r="BF212" s="40">
        <f>212</f>
        <v>212</v>
      </c>
      <c r="BH212" s="40">
        <f t="shared" si="133"/>
        <v>0</v>
      </c>
      <c r="BI212" s="40">
        <f t="shared" si="134"/>
        <v>0</v>
      </c>
      <c r="BJ212" s="40">
        <f t="shared" si="135"/>
        <v>0</v>
      </c>
      <c r="BK212" s="40"/>
      <c r="BL212" s="40">
        <v>11</v>
      </c>
    </row>
    <row r="213" spans="1:64" ht="15" customHeight="1">
      <c r="A213" s="19" t="s">
        <v>656</v>
      </c>
      <c r="B213" s="59" t="s">
        <v>1096</v>
      </c>
      <c r="C213" s="76" t="s">
        <v>217</v>
      </c>
      <c r="D213" s="76"/>
      <c r="E213" s="76"/>
      <c r="F213" s="76"/>
      <c r="G213" s="59" t="s">
        <v>1041</v>
      </c>
      <c r="H213" s="40">
        <v>46</v>
      </c>
      <c r="I213" s="40">
        <v>0</v>
      </c>
      <c r="J213" s="40">
        <f t="shared" si="114"/>
        <v>0</v>
      </c>
      <c r="K213" s="40">
        <f t="shared" si="115"/>
        <v>0</v>
      </c>
      <c r="L213" s="40">
        <f t="shared" si="116"/>
        <v>0</v>
      </c>
      <c r="M213" s="69" t="s">
        <v>868</v>
      </c>
      <c r="Z213" s="40">
        <f t="shared" si="117"/>
        <v>0</v>
      </c>
      <c r="AB213" s="40">
        <f t="shared" si="118"/>
        <v>0</v>
      </c>
      <c r="AC213" s="40">
        <f t="shared" si="119"/>
        <v>0</v>
      </c>
      <c r="AD213" s="40">
        <f t="shared" si="120"/>
        <v>0</v>
      </c>
      <c r="AE213" s="40">
        <f t="shared" si="121"/>
        <v>0</v>
      </c>
      <c r="AF213" s="40">
        <f t="shared" si="122"/>
        <v>0</v>
      </c>
      <c r="AG213" s="40">
        <f t="shared" si="123"/>
        <v>0</v>
      </c>
      <c r="AH213" s="40">
        <f t="shared" si="124"/>
        <v>0</v>
      </c>
      <c r="AI213" s="11" t="s">
        <v>255</v>
      </c>
      <c r="AJ213" s="40">
        <f t="shared" si="125"/>
        <v>0</v>
      </c>
      <c r="AK213" s="40">
        <f t="shared" si="126"/>
        <v>0</v>
      </c>
      <c r="AL213" s="40">
        <f t="shared" si="127"/>
        <v>0</v>
      </c>
      <c r="AN213" s="40">
        <v>21</v>
      </c>
      <c r="AO213" s="40">
        <f t="shared" si="136"/>
        <v>0</v>
      </c>
      <c r="AP213" s="40">
        <f t="shared" si="137"/>
        <v>0</v>
      </c>
      <c r="AQ213" s="17" t="s">
        <v>1260</v>
      </c>
      <c r="AV213" s="40">
        <f t="shared" si="128"/>
        <v>0</v>
      </c>
      <c r="AW213" s="40">
        <f t="shared" si="129"/>
        <v>0</v>
      </c>
      <c r="AX213" s="40">
        <f t="shared" si="130"/>
        <v>0</v>
      </c>
      <c r="AY213" s="17" t="s">
        <v>144</v>
      </c>
      <c r="AZ213" s="17" t="s">
        <v>396</v>
      </c>
      <c r="BA213" s="11" t="s">
        <v>921</v>
      </c>
      <c r="BC213" s="40">
        <f t="shared" si="131"/>
        <v>0</v>
      </c>
      <c r="BD213" s="40">
        <f t="shared" si="132"/>
        <v>0</v>
      </c>
      <c r="BE213" s="40">
        <v>0</v>
      </c>
      <c r="BF213" s="40">
        <f>213</f>
        <v>213</v>
      </c>
      <c r="BH213" s="40">
        <f t="shared" si="133"/>
        <v>0</v>
      </c>
      <c r="BI213" s="40">
        <f t="shared" si="134"/>
        <v>0</v>
      </c>
      <c r="BJ213" s="40">
        <f t="shared" si="135"/>
        <v>0</v>
      </c>
      <c r="BK213" s="40"/>
      <c r="BL213" s="40">
        <v>11</v>
      </c>
    </row>
    <row r="214" spans="1:64" ht="15" customHeight="1">
      <c r="A214" s="19" t="s">
        <v>91</v>
      </c>
      <c r="B214" s="59" t="s">
        <v>975</v>
      </c>
      <c r="C214" s="76" t="s">
        <v>657</v>
      </c>
      <c r="D214" s="76"/>
      <c r="E214" s="76"/>
      <c r="F214" s="76"/>
      <c r="G214" s="59" t="s">
        <v>565</v>
      </c>
      <c r="H214" s="40">
        <v>74.12</v>
      </c>
      <c r="I214" s="40">
        <v>0</v>
      </c>
      <c r="J214" s="40">
        <f t="shared" si="114"/>
        <v>0</v>
      </c>
      <c r="K214" s="40">
        <f t="shared" si="115"/>
        <v>0</v>
      </c>
      <c r="L214" s="40">
        <f t="shared" si="116"/>
        <v>0</v>
      </c>
      <c r="M214" s="69" t="s">
        <v>868</v>
      </c>
      <c r="Z214" s="40">
        <f t="shared" si="117"/>
        <v>0</v>
      </c>
      <c r="AB214" s="40">
        <f t="shared" si="118"/>
        <v>0</v>
      </c>
      <c r="AC214" s="40">
        <f t="shared" si="119"/>
        <v>0</v>
      </c>
      <c r="AD214" s="40">
        <f t="shared" si="120"/>
        <v>0</v>
      </c>
      <c r="AE214" s="40">
        <f t="shared" si="121"/>
        <v>0</v>
      </c>
      <c r="AF214" s="40">
        <f t="shared" si="122"/>
        <v>0</v>
      </c>
      <c r="AG214" s="40">
        <f t="shared" si="123"/>
        <v>0</v>
      </c>
      <c r="AH214" s="40">
        <f t="shared" si="124"/>
        <v>0</v>
      </c>
      <c r="AI214" s="11" t="s">
        <v>255</v>
      </c>
      <c r="AJ214" s="40">
        <f t="shared" si="125"/>
        <v>0</v>
      </c>
      <c r="AK214" s="40">
        <f t="shared" si="126"/>
        <v>0</v>
      </c>
      <c r="AL214" s="40">
        <f t="shared" si="127"/>
        <v>0</v>
      </c>
      <c r="AN214" s="40">
        <v>21</v>
      </c>
      <c r="AO214" s="40">
        <f t="shared" si="136"/>
        <v>0</v>
      </c>
      <c r="AP214" s="40">
        <f t="shared" si="137"/>
        <v>0</v>
      </c>
      <c r="AQ214" s="17" t="s">
        <v>668</v>
      </c>
      <c r="AV214" s="40">
        <f t="shared" si="128"/>
        <v>0</v>
      </c>
      <c r="AW214" s="40">
        <f t="shared" si="129"/>
        <v>0</v>
      </c>
      <c r="AX214" s="40">
        <f t="shared" si="130"/>
        <v>0</v>
      </c>
      <c r="AY214" s="17" t="s">
        <v>144</v>
      </c>
      <c r="AZ214" s="17" t="s">
        <v>396</v>
      </c>
      <c r="BA214" s="11" t="s">
        <v>921</v>
      </c>
      <c r="BC214" s="40">
        <f t="shared" si="131"/>
        <v>0</v>
      </c>
      <c r="BD214" s="40">
        <f t="shared" si="132"/>
        <v>0</v>
      </c>
      <c r="BE214" s="40">
        <v>0</v>
      </c>
      <c r="BF214" s="40">
        <f>214</f>
        <v>214</v>
      </c>
      <c r="BH214" s="40">
        <f t="shared" si="133"/>
        <v>0</v>
      </c>
      <c r="BI214" s="40">
        <f t="shared" si="134"/>
        <v>0</v>
      </c>
      <c r="BJ214" s="40">
        <f t="shared" si="135"/>
        <v>0</v>
      </c>
      <c r="BK214" s="40"/>
      <c r="BL214" s="40">
        <v>11</v>
      </c>
    </row>
    <row r="215" spans="1:64" ht="15" customHeight="1">
      <c r="A215" s="19" t="s">
        <v>1362</v>
      </c>
      <c r="B215" s="59" t="s">
        <v>0</v>
      </c>
      <c r="C215" s="76" t="s">
        <v>322</v>
      </c>
      <c r="D215" s="76"/>
      <c r="E215" s="76"/>
      <c r="F215" s="76"/>
      <c r="G215" s="59" t="s">
        <v>565</v>
      </c>
      <c r="H215" s="40">
        <v>1408.28</v>
      </c>
      <c r="I215" s="40">
        <v>0</v>
      </c>
      <c r="J215" s="40">
        <f t="shared" si="114"/>
        <v>0</v>
      </c>
      <c r="K215" s="40">
        <f t="shared" si="115"/>
        <v>0</v>
      </c>
      <c r="L215" s="40">
        <f t="shared" si="116"/>
        <v>0</v>
      </c>
      <c r="M215" s="69" t="s">
        <v>868</v>
      </c>
      <c r="Z215" s="40">
        <f t="shared" si="117"/>
        <v>0</v>
      </c>
      <c r="AB215" s="40">
        <f t="shared" si="118"/>
        <v>0</v>
      </c>
      <c r="AC215" s="40">
        <f t="shared" si="119"/>
        <v>0</v>
      </c>
      <c r="AD215" s="40">
        <f t="shared" si="120"/>
        <v>0</v>
      </c>
      <c r="AE215" s="40">
        <f t="shared" si="121"/>
        <v>0</v>
      </c>
      <c r="AF215" s="40">
        <f t="shared" si="122"/>
        <v>0</v>
      </c>
      <c r="AG215" s="40">
        <f t="shared" si="123"/>
        <v>0</v>
      </c>
      <c r="AH215" s="40">
        <f t="shared" si="124"/>
        <v>0</v>
      </c>
      <c r="AI215" s="11" t="s">
        <v>255</v>
      </c>
      <c r="AJ215" s="40">
        <f t="shared" si="125"/>
        <v>0</v>
      </c>
      <c r="AK215" s="40">
        <f t="shared" si="126"/>
        <v>0</v>
      </c>
      <c r="AL215" s="40">
        <f t="shared" si="127"/>
        <v>0</v>
      </c>
      <c r="AN215" s="40">
        <v>21</v>
      </c>
      <c r="AO215" s="40">
        <f t="shared" si="136"/>
        <v>0</v>
      </c>
      <c r="AP215" s="40">
        <f t="shared" si="137"/>
        <v>0</v>
      </c>
      <c r="AQ215" s="17" t="s">
        <v>668</v>
      </c>
      <c r="AV215" s="40">
        <f t="shared" si="128"/>
        <v>0</v>
      </c>
      <c r="AW215" s="40">
        <f t="shared" si="129"/>
        <v>0</v>
      </c>
      <c r="AX215" s="40">
        <f t="shared" si="130"/>
        <v>0</v>
      </c>
      <c r="AY215" s="17" t="s">
        <v>144</v>
      </c>
      <c r="AZ215" s="17" t="s">
        <v>396</v>
      </c>
      <c r="BA215" s="11" t="s">
        <v>921</v>
      </c>
      <c r="BC215" s="40">
        <f t="shared" si="131"/>
        <v>0</v>
      </c>
      <c r="BD215" s="40">
        <f t="shared" si="132"/>
        <v>0</v>
      </c>
      <c r="BE215" s="40">
        <v>0</v>
      </c>
      <c r="BF215" s="40">
        <f>215</f>
        <v>215</v>
      </c>
      <c r="BH215" s="40">
        <f t="shared" si="133"/>
        <v>0</v>
      </c>
      <c r="BI215" s="40">
        <f t="shared" si="134"/>
        <v>0</v>
      </c>
      <c r="BJ215" s="40">
        <f t="shared" si="135"/>
        <v>0</v>
      </c>
      <c r="BK215" s="40"/>
      <c r="BL215" s="40">
        <v>11</v>
      </c>
    </row>
    <row r="216" spans="1:64" ht="15" customHeight="1">
      <c r="A216" s="19" t="s">
        <v>737</v>
      </c>
      <c r="B216" s="59" t="s">
        <v>306</v>
      </c>
      <c r="C216" s="76" t="s">
        <v>986</v>
      </c>
      <c r="D216" s="76"/>
      <c r="E216" s="76"/>
      <c r="F216" s="76"/>
      <c r="G216" s="59" t="s">
        <v>565</v>
      </c>
      <c r="H216" s="40">
        <v>107.12</v>
      </c>
      <c r="I216" s="40">
        <v>0</v>
      </c>
      <c r="J216" s="40">
        <f t="shared" si="114"/>
        <v>0</v>
      </c>
      <c r="K216" s="40">
        <f t="shared" si="115"/>
        <v>0</v>
      </c>
      <c r="L216" s="40">
        <f t="shared" si="116"/>
        <v>0</v>
      </c>
      <c r="M216" s="69" t="s">
        <v>868</v>
      </c>
      <c r="Z216" s="40">
        <f t="shared" si="117"/>
        <v>0</v>
      </c>
      <c r="AB216" s="40">
        <f t="shared" si="118"/>
        <v>0</v>
      </c>
      <c r="AC216" s="40">
        <f t="shared" si="119"/>
        <v>0</v>
      </c>
      <c r="AD216" s="40">
        <f t="shared" si="120"/>
        <v>0</v>
      </c>
      <c r="AE216" s="40">
        <f t="shared" si="121"/>
        <v>0</v>
      </c>
      <c r="AF216" s="40">
        <f t="shared" si="122"/>
        <v>0</v>
      </c>
      <c r="AG216" s="40">
        <f t="shared" si="123"/>
        <v>0</v>
      </c>
      <c r="AH216" s="40">
        <f t="shared" si="124"/>
        <v>0</v>
      </c>
      <c r="AI216" s="11" t="s">
        <v>255</v>
      </c>
      <c r="AJ216" s="40">
        <f t="shared" si="125"/>
        <v>0</v>
      </c>
      <c r="AK216" s="40">
        <f t="shared" si="126"/>
        <v>0</v>
      </c>
      <c r="AL216" s="40">
        <f t="shared" si="127"/>
        <v>0</v>
      </c>
      <c r="AN216" s="40">
        <v>21</v>
      </c>
      <c r="AO216" s="40">
        <f t="shared" si="136"/>
        <v>0</v>
      </c>
      <c r="AP216" s="40">
        <f t="shared" si="137"/>
        <v>0</v>
      </c>
      <c r="AQ216" s="17" t="s">
        <v>668</v>
      </c>
      <c r="AV216" s="40">
        <f t="shared" si="128"/>
        <v>0</v>
      </c>
      <c r="AW216" s="40">
        <f t="shared" si="129"/>
        <v>0</v>
      </c>
      <c r="AX216" s="40">
        <f t="shared" si="130"/>
        <v>0</v>
      </c>
      <c r="AY216" s="17" t="s">
        <v>144</v>
      </c>
      <c r="AZ216" s="17" t="s">
        <v>396</v>
      </c>
      <c r="BA216" s="11" t="s">
        <v>921</v>
      </c>
      <c r="BC216" s="40">
        <f t="shared" si="131"/>
        <v>0</v>
      </c>
      <c r="BD216" s="40">
        <f t="shared" si="132"/>
        <v>0</v>
      </c>
      <c r="BE216" s="40">
        <v>0</v>
      </c>
      <c r="BF216" s="40">
        <f>216</f>
        <v>216</v>
      </c>
      <c r="BH216" s="40">
        <f t="shared" si="133"/>
        <v>0</v>
      </c>
      <c r="BI216" s="40">
        <f t="shared" si="134"/>
        <v>0</v>
      </c>
      <c r="BJ216" s="40">
        <f t="shared" si="135"/>
        <v>0</v>
      </c>
      <c r="BK216" s="40"/>
      <c r="BL216" s="40">
        <v>11</v>
      </c>
    </row>
    <row r="217" spans="1:64" ht="15" customHeight="1">
      <c r="A217" s="19" t="s">
        <v>505</v>
      </c>
      <c r="B217" s="59" t="s">
        <v>746</v>
      </c>
      <c r="C217" s="76" t="s">
        <v>627</v>
      </c>
      <c r="D217" s="76"/>
      <c r="E217" s="76"/>
      <c r="F217" s="76"/>
      <c r="G217" s="59" t="s">
        <v>1243</v>
      </c>
      <c r="H217" s="40">
        <v>608.62</v>
      </c>
      <c r="I217" s="40">
        <v>0</v>
      </c>
      <c r="J217" s="40">
        <f t="shared" si="114"/>
        <v>0</v>
      </c>
      <c r="K217" s="40">
        <f t="shared" si="115"/>
        <v>0</v>
      </c>
      <c r="L217" s="40">
        <f t="shared" si="116"/>
        <v>0</v>
      </c>
      <c r="M217" s="69" t="s">
        <v>868</v>
      </c>
      <c r="Z217" s="40">
        <f t="shared" si="117"/>
        <v>0</v>
      </c>
      <c r="AB217" s="40">
        <f t="shared" si="118"/>
        <v>0</v>
      </c>
      <c r="AC217" s="40">
        <f t="shared" si="119"/>
        <v>0</v>
      </c>
      <c r="AD217" s="40">
        <f t="shared" si="120"/>
        <v>0</v>
      </c>
      <c r="AE217" s="40">
        <f t="shared" si="121"/>
        <v>0</v>
      </c>
      <c r="AF217" s="40">
        <f t="shared" si="122"/>
        <v>0</v>
      </c>
      <c r="AG217" s="40">
        <f t="shared" si="123"/>
        <v>0</v>
      </c>
      <c r="AH217" s="40">
        <f t="shared" si="124"/>
        <v>0</v>
      </c>
      <c r="AI217" s="11" t="s">
        <v>255</v>
      </c>
      <c r="AJ217" s="40">
        <f t="shared" si="125"/>
        <v>0</v>
      </c>
      <c r="AK217" s="40">
        <f t="shared" si="126"/>
        <v>0</v>
      </c>
      <c r="AL217" s="40">
        <f t="shared" si="127"/>
        <v>0</v>
      </c>
      <c r="AN217" s="40">
        <v>21</v>
      </c>
      <c r="AO217" s="40">
        <f t="shared" si="136"/>
        <v>0</v>
      </c>
      <c r="AP217" s="40">
        <f t="shared" si="137"/>
        <v>0</v>
      </c>
      <c r="AQ217" s="17" t="s">
        <v>1260</v>
      </c>
      <c r="AV217" s="40">
        <f t="shared" si="128"/>
        <v>0</v>
      </c>
      <c r="AW217" s="40">
        <f t="shared" si="129"/>
        <v>0</v>
      </c>
      <c r="AX217" s="40">
        <f t="shared" si="130"/>
        <v>0</v>
      </c>
      <c r="AY217" s="17" t="s">
        <v>144</v>
      </c>
      <c r="AZ217" s="17" t="s">
        <v>396</v>
      </c>
      <c r="BA217" s="11" t="s">
        <v>921</v>
      </c>
      <c r="BC217" s="40">
        <f t="shared" si="131"/>
        <v>0</v>
      </c>
      <c r="BD217" s="40">
        <f t="shared" si="132"/>
        <v>0</v>
      </c>
      <c r="BE217" s="40">
        <v>0</v>
      </c>
      <c r="BF217" s="40">
        <f>217</f>
        <v>217</v>
      </c>
      <c r="BH217" s="40">
        <f t="shared" si="133"/>
        <v>0</v>
      </c>
      <c r="BI217" s="40">
        <f t="shared" si="134"/>
        <v>0</v>
      </c>
      <c r="BJ217" s="40">
        <f t="shared" si="135"/>
        <v>0</v>
      </c>
      <c r="BK217" s="40"/>
      <c r="BL217" s="40">
        <v>11</v>
      </c>
    </row>
    <row r="218" spans="1:64" ht="15" customHeight="1">
      <c r="A218" s="19" t="s">
        <v>364</v>
      </c>
      <c r="B218" s="59" t="s">
        <v>1424</v>
      </c>
      <c r="C218" s="76" t="s">
        <v>725</v>
      </c>
      <c r="D218" s="76"/>
      <c r="E218" s="76"/>
      <c r="F218" s="76"/>
      <c r="G218" s="59" t="s">
        <v>1243</v>
      </c>
      <c r="H218" s="40">
        <v>608.62</v>
      </c>
      <c r="I218" s="40">
        <v>0</v>
      </c>
      <c r="J218" s="40">
        <f t="shared" si="114"/>
        <v>0</v>
      </c>
      <c r="K218" s="40">
        <f t="shared" si="115"/>
        <v>0</v>
      </c>
      <c r="L218" s="40">
        <f t="shared" si="116"/>
        <v>0</v>
      </c>
      <c r="M218" s="69" t="s">
        <v>868</v>
      </c>
      <c r="Z218" s="40">
        <f t="shared" si="117"/>
        <v>0</v>
      </c>
      <c r="AB218" s="40">
        <f t="shared" si="118"/>
        <v>0</v>
      </c>
      <c r="AC218" s="40">
        <f t="shared" si="119"/>
        <v>0</v>
      </c>
      <c r="AD218" s="40">
        <f t="shared" si="120"/>
        <v>0</v>
      </c>
      <c r="AE218" s="40">
        <f t="shared" si="121"/>
        <v>0</v>
      </c>
      <c r="AF218" s="40">
        <f t="shared" si="122"/>
        <v>0</v>
      </c>
      <c r="AG218" s="40">
        <f t="shared" si="123"/>
        <v>0</v>
      </c>
      <c r="AH218" s="40">
        <f t="shared" si="124"/>
        <v>0</v>
      </c>
      <c r="AI218" s="11" t="s">
        <v>255</v>
      </c>
      <c r="AJ218" s="40">
        <f t="shared" si="125"/>
        <v>0</v>
      </c>
      <c r="AK218" s="40">
        <f t="shared" si="126"/>
        <v>0</v>
      </c>
      <c r="AL218" s="40">
        <f t="shared" si="127"/>
        <v>0</v>
      </c>
      <c r="AN218" s="40">
        <v>21</v>
      </c>
      <c r="AO218" s="40">
        <f t="shared" si="136"/>
        <v>0</v>
      </c>
      <c r="AP218" s="40">
        <f t="shared" si="137"/>
        <v>0</v>
      </c>
      <c r="AQ218" s="17" t="s">
        <v>1260</v>
      </c>
      <c r="AV218" s="40">
        <f t="shared" si="128"/>
        <v>0</v>
      </c>
      <c r="AW218" s="40">
        <f t="shared" si="129"/>
        <v>0</v>
      </c>
      <c r="AX218" s="40">
        <f t="shared" si="130"/>
        <v>0</v>
      </c>
      <c r="AY218" s="17" t="s">
        <v>144</v>
      </c>
      <c r="AZ218" s="17" t="s">
        <v>396</v>
      </c>
      <c r="BA218" s="11" t="s">
        <v>921</v>
      </c>
      <c r="BC218" s="40">
        <f t="shared" si="131"/>
        <v>0</v>
      </c>
      <c r="BD218" s="40">
        <f t="shared" si="132"/>
        <v>0</v>
      </c>
      <c r="BE218" s="40">
        <v>0</v>
      </c>
      <c r="BF218" s="40">
        <f>218</f>
        <v>218</v>
      </c>
      <c r="BH218" s="40">
        <f t="shared" si="133"/>
        <v>0</v>
      </c>
      <c r="BI218" s="40">
        <f t="shared" si="134"/>
        <v>0</v>
      </c>
      <c r="BJ218" s="40">
        <f t="shared" si="135"/>
        <v>0</v>
      </c>
      <c r="BK218" s="40"/>
      <c r="BL218" s="40">
        <v>11</v>
      </c>
    </row>
    <row r="219" spans="1:64" ht="15" customHeight="1">
      <c r="A219" s="19" t="s">
        <v>884</v>
      </c>
      <c r="B219" s="59" t="s">
        <v>291</v>
      </c>
      <c r="C219" s="76" t="s">
        <v>413</v>
      </c>
      <c r="D219" s="76"/>
      <c r="E219" s="76"/>
      <c r="F219" s="76"/>
      <c r="G219" s="59" t="s">
        <v>565</v>
      </c>
      <c r="H219" s="40">
        <v>149.0764</v>
      </c>
      <c r="I219" s="40">
        <v>0</v>
      </c>
      <c r="J219" s="40">
        <f t="shared" si="114"/>
        <v>0</v>
      </c>
      <c r="K219" s="40">
        <f t="shared" si="115"/>
        <v>0</v>
      </c>
      <c r="L219" s="40">
        <f t="shared" si="116"/>
        <v>0</v>
      </c>
      <c r="M219" s="69" t="s">
        <v>868</v>
      </c>
      <c r="Z219" s="40">
        <f t="shared" si="117"/>
        <v>0</v>
      </c>
      <c r="AB219" s="40">
        <f t="shared" si="118"/>
        <v>0</v>
      </c>
      <c r="AC219" s="40">
        <f t="shared" si="119"/>
        <v>0</v>
      </c>
      <c r="AD219" s="40">
        <f t="shared" si="120"/>
        <v>0</v>
      </c>
      <c r="AE219" s="40">
        <f t="shared" si="121"/>
        <v>0</v>
      </c>
      <c r="AF219" s="40">
        <f t="shared" si="122"/>
        <v>0</v>
      </c>
      <c r="AG219" s="40">
        <f t="shared" si="123"/>
        <v>0</v>
      </c>
      <c r="AH219" s="40">
        <f t="shared" si="124"/>
        <v>0</v>
      </c>
      <c r="AI219" s="11" t="s">
        <v>255</v>
      </c>
      <c r="AJ219" s="40">
        <f t="shared" si="125"/>
        <v>0</v>
      </c>
      <c r="AK219" s="40">
        <f t="shared" si="126"/>
        <v>0</v>
      </c>
      <c r="AL219" s="40">
        <f t="shared" si="127"/>
        <v>0</v>
      </c>
      <c r="AN219" s="40">
        <v>21</v>
      </c>
      <c r="AO219" s="40">
        <f t="shared" si="136"/>
        <v>0</v>
      </c>
      <c r="AP219" s="40">
        <f t="shared" si="137"/>
        <v>0</v>
      </c>
      <c r="AQ219" s="17" t="s">
        <v>668</v>
      </c>
      <c r="AV219" s="40">
        <f t="shared" si="128"/>
        <v>0</v>
      </c>
      <c r="AW219" s="40">
        <f t="shared" si="129"/>
        <v>0</v>
      </c>
      <c r="AX219" s="40">
        <f t="shared" si="130"/>
        <v>0</v>
      </c>
      <c r="AY219" s="17" t="s">
        <v>144</v>
      </c>
      <c r="AZ219" s="17" t="s">
        <v>396</v>
      </c>
      <c r="BA219" s="11" t="s">
        <v>921</v>
      </c>
      <c r="BC219" s="40">
        <f t="shared" si="131"/>
        <v>0</v>
      </c>
      <c r="BD219" s="40">
        <f t="shared" si="132"/>
        <v>0</v>
      </c>
      <c r="BE219" s="40">
        <v>0</v>
      </c>
      <c r="BF219" s="40">
        <f>219</f>
        <v>219</v>
      </c>
      <c r="BH219" s="40">
        <f t="shared" si="133"/>
        <v>0</v>
      </c>
      <c r="BI219" s="40">
        <f t="shared" si="134"/>
        <v>0</v>
      </c>
      <c r="BJ219" s="40">
        <f t="shared" si="135"/>
        <v>0</v>
      </c>
      <c r="BK219" s="40"/>
      <c r="BL219" s="40">
        <v>11</v>
      </c>
    </row>
    <row r="220" spans="1:64" ht="15" customHeight="1">
      <c r="A220" s="19" t="s">
        <v>1178</v>
      </c>
      <c r="B220" s="59" t="s">
        <v>1140</v>
      </c>
      <c r="C220" s="76" t="s">
        <v>853</v>
      </c>
      <c r="D220" s="76"/>
      <c r="E220" s="76"/>
      <c r="F220" s="76"/>
      <c r="G220" s="59" t="s">
        <v>1243</v>
      </c>
      <c r="H220" s="40">
        <v>69</v>
      </c>
      <c r="I220" s="40">
        <v>0</v>
      </c>
      <c r="J220" s="40">
        <f t="shared" si="114"/>
        <v>0</v>
      </c>
      <c r="K220" s="40">
        <f t="shared" si="115"/>
        <v>0</v>
      </c>
      <c r="L220" s="40">
        <f t="shared" si="116"/>
        <v>0</v>
      </c>
      <c r="M220" s="69" t="s">
        <v>868</v>
      </c>
      <c r="Z220" s="40">
        <f t="shared" si="117"/>
        <v>0</v>
      </c>
      <c r="AB220" s="40">
        <f t="shared" si="118"/>
        <v>0</v>
      </c>
      <c r="AC220" s="40">
        <f t="shared" si="119"/>
        <v>0</v>
      </c>
      <c r="AD220" s="40">
        <f t="shared" si="120"/>
        <v>0</v>
      </c>
      <c r="AE220" s="40">
        <f t="shared" si="121"/>
        <v>0</v>
      </c>
      <c r="AF220" s="40">
        <f t="shared" si="122"/>
        <v>0</v>
      </c>
      <c r="AG220" s="40">
        <f t="shared" si="123"/>
        <v>0</v>
      </c>
      <c r="AH220" s="40">
        <f t="shared" si="124"/>
        <v>0</v>
      </c>
      <c r="AI220" s="11" t="s">
        <v>255</v>
      </c>
      <c r="AJ220" s="40">
        <f t="shared" si="125"/>
        <v>0</v>
      </c>
      <c r="AK220" s="40">
        <f t="shared" si="126"/>
        <v>0</v>
      </c>
      <c r="AL220" s="40">
        <f t="shared" si="127"/>
        <v>0</v>
      </c>
      <c r="AN220" s="40">
        <v>21</v>
      </c>
      <c r="AO220" s="40">
        <f t="shared" si="136"/>
        <v>0</v>
      </c>
      <c r="AP220" s="40">
        <f t="shared" si="137"/>
        <v>0</v>
      </c>
      <c r="AQ220" s="17" t="s">
        <v>1260</v>
      </c>
      <c r="AV220" s="40">
        <f t="shared" si="128"/>
        <v>0</v>
      </c>
      <c r="AW220" s="40">
        <f t="shared" si="129"/>
        <v>0</v>
      </c>
      <c r="AX220" s="40">
        <f t="shared" si="130"/>
        <v>0</v>
      </c>
      <c r="AY220" s="17" t="s">
        <v>144</v>
      </c>
      <c r="AZ220" s="17" t="s">
        <v>396</v>
      </c>
      <c r="BA220" s="11" t="s">
        <v>921</v>
      </c>
      <c r="BC220" s="40">
        <f t="shared" si="131"/>
        <v>0</v>
      </c>
      <c r="BD220" s="40">
        <f t="shared" si="132"/>
        <v>0</v>
      </c>
      <c r="BE220" s="40">
        <v>0</v>
      </c>
      <c r="BF220" s="40">
        <f>220</f>
        <v>220</v>
      </c>
      <c r="BH220" s="40">
        <f t="shared" si="133"/>
        <v>0</v>
      </c>
      <c r="BI220" s="40">
        <f t="shared" si="134"/>
        <v>0</v>
      </c>
      <c r="BJ220" s="40">
        <f t="shared" si="135"/>
        <v>0</v>
      </c>
      <c r="BK220" s="40"/>
      <c r="BL220" s="40">
        <v>11</v>
      </c>
    </row>
    <row r="221" spans="1:64" ht="15" customHeight="1">
      <c r="A221" s="19" t="s">
        <v>295</v>
      </c>
      <c r="B221" s="59" t="s">
        <v>1424</v>
      </c>
      <c r="C221" s="76" t="s">
        <v>725</v>
      </c>
      <c r="D221" s="76"/>
      <c r="E221" s="76"/>
      <c r="F221" s="76"/>
      <c r="G221" s="59" t="s">
        <v>1243</v>
      </c>
      <c r="H221" s="40">
        <v>50</v>
      </c>
      <c r="I221" s="40">
        <v>0</v>
      </c>
      <c r="J221" s="40">
        <f t="shared" si="114"/>
        <v>0</v>
      </c>
      <c r="K221" s="40">
        <f t="shared" si="115"/>
        <v>0</v>
      </c>
      <c r="L221" s="40">
        <f t="shared" si="116"/>
        <v>0</v>
      </c>
      <c r="M221" s="69" t="s">
        <v>868</v>
      </c>
      <c r="Z221" s="40">
        <f t="shared" si="117"/>
        <v>0</v>
      </c>
      <c r="AB221" s="40">
        <f t="shared" si="118"/>
        <v>0</v>
      </c>
      <c r="AC221" s="40">
        <f t="shared" si="119"/>
        <v>0</v>
      </c>
      <c r="AD221" s="40">
        <f t="shared" si="120"/>
        <v>0</v>
      </c>
      <c r="AE221" s="40">
        <f t="shared" si="121"/>
        <v>0</v>
      </c>
      <c r="AF221" s="40">
        <f t="shared" si="122"/>
        <v>0</v>
      </c>
      <c r="AG221" s="40">
        <f t="shared" si="123"/>
        <v>0</v>
      </c>
      <c r="AH221" s="40">
        <f t="shared" si="124"/>
        <v>0</v>
      </c>
      <c r="AI221" s="11" t="s">
        <v>255</v>
      </c>
      <c r="AJ221" s="40">
        <f t="shared" si="125"/>
        <v>0</v>
      </c>
      <c r="AK221" s="40">
        <f t="shared" si="126"/>
        <v>0</v>
      </c>
      <c r="AL221" s="40">
        <f t="shared" si="127"/>
        <v>0</v>
      </c>
      <c r="AN221" s="40">
        <v>21</v>
      </c>
      <c r="AO221" s="40">
        <f t="shared" si="136"/>
        <v>0</v>
      </c>
      <c r="AP221" s="40">
        <f t="shared" si="137"/>
        <v>0</v>
      </c>
      <c r="AQ221" s="17" t="s">
        <v>1260</v>
      </c>
      <c r="AV221" s="40">
        <f t="shared" si="128"/>
        <v>0</v>
      </c>
      <c r="AW221" s="40">
        <f t="shared" si="129"/>
        <v>0</v>
      </c>
      <c r="AX221" s="40">
        <f t="shared" si="130"/>
        <v>0</v>
      </c>
      <c r="AY221" s="17" t="s">
        <v>144</v>
      </c>
      <c r="AZ221" s="17" t="s">
        <v>396</v>
      </c>
      <c r="BA221" s="11" t="s">
        <v>921</v>
      </c>
      <c r="BC221" s="40">
        <f t="shared" si="131"/>
        <v>0</v>
      </c>
      <c r="BD221" s="40">
        <f t="shared" si="132"/>
        <v>0</v>
      </c>
      <c r="BE221" s="40">
        <v>0</v>
      </c>
      <c r="BF221" s="40">
        <f>221</f>
        <v>221</v>
      </c>
      <c r="BH221" s="40">
        <f t="shared" si="133"/>
        <v>0</v>
      </c>
      <c r="BI221" s="40">
        <f t="shared" si="134"/>
        <v>0</v>
      </c>
      <c r="BJ221" s="40">
        <f t="shared" si="135"/>
        <v>0</v>
      </c>
      <c r="BK221" s="40"/>
      <c r="BL221" s="40">
        <v>11</v>
      </c>
    </row>
    <row r="222" spans="1:47" ht="15" customHeight="1">
      <c r="A222" s="24" t="s">
        <v>878</v>
      </c>
      <c r="B222" s="66" t="s">
        <v>368</v>
      </c>
      <c r="C222" s="92" t="s">
        <v>13</v>
      </c>
      <c r="D222" s="92"/>
      <c r="E222" s="92"/>
      <c r="F222" s="92"/>
      <c r="G222" s="3" t="s">
        <v>1172</v>
      </c>
      <c r="H222" s="3" t="s">
        <v>1172</v>
      </c>
      <c r="I222" s="3" t="s">
        <v>1172</v>
      </c>
      <c r="J222" s="63">
        <f>SUM(J223:J225)</f>
        <v>0</v>
      </c>
      <c r="K222" s="63">
        <f>SUM(K223:K225)</f>
        <v>0</v>
      </c>
      <c r="L222" s="63">
        <f>SUM(L223:L225)</f>
        <v>0</v>
      </c>
      <c r="M222" s="4" t="s">
        <v>878</v>
      </c>
      <c r="AI222" s="11" t="s">
        <v>255</v>
      </c>
      <c r="AS222" s="63">
        <f>SUM(AJ223:AJ225)</f>
        <v>0</v>
      </c>
      <c r="AT222" s="63">
        <f>SUM(AK223:AK225)</f>
        <v>0</v>
      </c>
      <c r="AU222" s="63">
        <f>SUM(AL223:AL225)</f>
        <v>0</v>
      </c>
    </row>
    <row r="223" spans="1:64" ht="15" customHeight="1">
      <c r="A223" s="19" t="s">
        <v>1328</v>
      </c>
      <c r="B223" s="59" t="s">
        <v>1126</v>
      </c>
      <c r="C223" s="76" t="s">
        <v>180</v>
      </c>
      <c r="D223" s="76"/>
      <c r="E223" s="76"/>
      <c r="F223" s="76"/>
      <c r="G223" s="59" t="s">
        <v>1220</v>
      </c>
      <c r="H223" s="40">
        <v>2185.2</v>
      </c>
      <c r="I223" s="40">
        <v>0</v>
      </c>
      <c r="J223" s="40">
        <f>H223*AO223</f>
        <v>0</v>
      </c>
      <c r="K223" s="40">
        <f>H223*AP223</f>
        <v>0</v>
      </c>
      <c r="L223" s="40">
        <f>H223*I223</f>
        <v>0</v>
      </c>
      <c r="M223" s="69" t="s">
        <v>868</v>
      </c>
      <c r="Z223" s="40">
        <f>IF(AQ223="5",BJ223,0)</f>
        <v>0</v>
      </c>
      <c r="AB223" s="40">
        <f>IF(AQ223="1",BH223,0)</f>
        <v>0</v>
      </c>
      <c r="AC223" s="40">
        <f>IF(AQ223="1",BI223,0)</f>
        <v>0</v>
      </c>
      <c r="AD223" s="40">
        <f>IF(AQ223="7",BH223,0)</f>
        <v>0</v>
      </c>
      <c r="AE223" s="40">
        <f>IF(AQ223="7",BI223,0)</f>
        <v>0</v>
      </c>
      <c r="AF223" s="40">
        <f>IF(AQ223="2",BH223,0)</f>
        <v>0</v>
      </c>
      <c r="AG223" s="40">
        <f>IF(AQ223="2",BI223,0)</f>
        <v>0</v>
      </c>
      <c r="AH223" s="40">
        <f>IF(AQ223="0",BJ223,0)</f>
        <v>0</v>
      </c>
      <c r="AI223" s="11" t="s">
        <v>255</v>
      </c>
      <c r="AJ223" s="40">
        <f>IF(AN223=0,L223,0)</f>
        <v>0</v>
      </c>
      <c r="AK223" s="40">
        <f>IF(AN223=15,L223,0)</f>
        <v>0</v>
      </c>
      <c r="AL223" s="40">
        <f>IF(AN223=21,L223,0)</f>
        <v>0</v>
      </c>
      <c r="AN223" s="40">
        <v>21</v>
      </c>
      <c r="AO223" s="40">
        <f>I223*0</f>
        <v>0</v>
      </c>
      <c r="AP223" s="40">
        <f>I223*(1-0)</f>
        <v>0</v>
      </c>
      <c r="AQ223" s="17" t="s">
        <v>1260</v>
      </c>
      <c r="AV223" s="40">
        <f>AW223+AX223</f>
        <v>0</v>
      </c>
      <c r="AW223" s="40">
        <f>H223*AO223</f>
        <v>0</v>
      </c>
      <c r="AX223" s="40">
        <f>H223*AP223</f>
        <v>0</v>
      </c>
      <c r="AY223" s="17" t="s">
        <v>1141</v>
      </c>
      <c r="AZ223" s="17" t="s">
        <v>396</v>
      </c>
      <c r="BA223" s="11" t="s">
        <v>921</v>
      </c>
      <c r="BC223" s="40">
        <f>AW223+AX223</f>
        <v>0</v>
      </c>
      <c r="BD223" s="40">
        <f>I223/(100-BE223)*100</f>
        <v>0</v>
      </c>
      <c r="BE223" s="40">
        <v>0</v>
      </c>
      <c r="BF223" s="40">
        <f>223</f>
        <v>223</v>
      </c>
      <c r="BH223" s="40">
        <f>H223*AO223</f>
        <v>0</v>
      </c>
      <c r="BI223" s="40">
        <f>H223*AP223</f>
        <v>0</v>
      </c>
      <c r="BJ223" s="40">
        <f>H223*I223</f>
        <v>0</v>
      </c>
      <c r="BK223" s="40"/>
      <c r="BL223" s="40">
        <v>13</v>
      </c>
    </row>
    <row r="224" spans="1:64" ht="15" customHeight="1">
      <c r="A224" s="19" t="s">
        <v>500</v>
      </c>
      <c r="B224" s="59" t="s">
        <v>442</v>
      </c>
      <c r="C224" s="76" t="s">
        <v>1291</v>
      </c>
      <c r="D224" s="76"/>
      <c r="E224" s="76"/>
      <c r="F224" s="76"/>
      <c r="G224" s="59" t="s">
        <v>1220</v>
      </c>
      <c r="H224" s="40">
        <v>132</v>
      </c>
      <c r="I224" s="40">
        <v>0</v>
      </c>
      <c r="J224" s="40">
        <f>H224*AO224</f>
        <v>0</v>
      </c>
      <c r="K224" s="40">
        <f>H224*AP224</f>
        <v>0</v>
      </c>
      <c r="L224" s="40">
        <f>H224*I224</f>
        <v>0</v>
      </c>
      <c r="M224" s="69" t="s">
        <v>868</v>
      </c>
      <c r="Z224" s="40">
        <f>IF(AQ224="5",BJ224,0)</f>
        <v>0</v>
      </c>
      <c r="AB224" s="40">
        <f>IF(AQ224="1",BH224,0)</f>
        <v>0</v>
      </c>
      <c r="AC224" s="40">
        <f>IF(AQ224="1",BI224,0)</f>
        <v>0</v>
      </c>
      <c r="AD224" s="40">
        <f>IF(AQ224="7",BH224,0)</f>
        <v>0</v>
      </c>
      <c r="AE224" s="40">
        <f>IF(AQ224="7",BI224,0)</f>
        <v>0</v>
      </c>
      <c r="AF224" s="40">
        <f>IF(AQ224="2",BH224,0)</f>
        <v>0</v>
      </c>
      <c r="AG224" s="40">
        <f>IF(AQ224="2",BI224,0)</f>
        <v>0</v>
      </c>
      <c r="AH224" s="40">
        <f>IF(AQ224="0",BJ224,0)</f>
        <v>0</v>
      </c>
      <c r="AI224" s="11" t="s">
        <v>255</v>
      </c>
      <c r="AJ224" s="40">
        <f>IF(AN224=0,L224,0)</f>
        <v>0</v>
      </c>
      <c r="AK224" s="40">
        <f>IF(AN224=15,L224,0)</f>
        <v>0</v>
      </c>
      <c r="AL224" s="40">
        <f>IF(AN224=21,L224,0)</f>
        <v>0</v>
      </c>
      <c r="AN224" s="40">
        <v>21</v>
      </c>
      <c r="AO224" s="40">
        <f>I224*0</f>
        <v>0</v>
      </c>
      <c r="AP224" s="40">
        <f>I224*(1-0)</f>
        <v>0</v>
      </c>
      <c r="AQ224" s="17" t="s">
        <v>1260</v>
      </c>
      <c r="AV224" s="40">
        <f>AW224+AX224</f>
        <v>0</v>
      </c>
      <c r="AW224" s="40">
        <f>H224*AO224</f>
        <v>0</v>
      </c>
      <c r="AX224" s="40">
        <f>H224*AP224</f>
        <v>0</v>
      </c>
      <c r="AY224" s="17" t="s">
        <v>1141</v>
      </c>
      <c r="AZ224" s="17" t="s">
        <v>396</v>
      </c>
      <c r="BA224" s="11" t="s">
        <v>921</v>
      </c>
      <c r="BC224" s="40">
        <f>AW224+AX224</f>
        <v>0</v>
      </c>
      <c r="BD224" s="40">
        <f>I224/(100-BE224)*100</f>
        <v>0</v>
      </c>
      <c r="BE224" s="40">
        <v>0</v>
      </c>
      <c r="BF224" s="40">
        <f>224</f>
        <v>224</v>
      </c>
      <c r="BH224" s="40">
        <f>H224*AO224</f>
        <v>0</v>
      </c>
      <c r="BI224" s="40">
        <f>H224*AP224</f>
        <v>0</v>
      </c>
      <c r="BJ224" s="40">
        <f>H224*I224</f>
        <v>0</v>
      </c>
      <c r="BK224" s="40"/>
      <c r="BL224" s="40">
        <v>13</v>
      </c>
    </row>
    <row r="225" spans="1:64" ht="15" customHeight="1">
      <c r="A225" s="19" t="s">
        <v>1160</v>
      </c>
      <c r="B225" s="59" t="s">
        <v>102</v>
      </c>
      <c r="C225" s="76" t="s">
        <v>426</v>
      </c>
      <c r="D225" s="76"/>
      <c r="E225" s="76"/>
      <c r="F225" s="76"/>
      <c r="G225" s="59" t="s">
        <v>1220</v>
      </c>
      <c r="H225" s="40">
        <v>15</v>
      </c>
      <c r="I225" s="40">
        <v>0</v>
      </c>
      <c r="J225" s="40">
        <f>H225*AO225</f>
        <v>0</v>
      </c>
      <c r="K225" s="40">
        <f>H225*AP225</f>
        <v>0</v>
      </c>
      <c r="L225" s="40">
        <f>H225*I225</f>
        <v>0</v>
      </c>
      <c r="M225" s="69" t="s">
        <v>868</v>
      </c>
      <c r="Z225" s="40">
        <f>IF(AQ225="5",BJ225,0)</f>
        <v>0</v>
      </c>
      <c r="AB225" s="40">
        <f>IF(AQ225="1",BH225,0)</f>
        <v>0</v>
      </c>
      <c r="AC225" s="40">
        <f>IF(AQ225="1",BI225,0)</f>
        <v>0</v>
      </c>
      <c r="AD225" s="40">
        <f>IF(AQ225="7",BH225,0)</f>
        <v>0</v>
      </c>
      <c r="AE225" s="40">
        <f>IF(AQ225="7",BI225,0)</f>
        <v>0</v>
      </c>
      <c r="AF225" s="40">
        <f>IF(AQ225="2",BH225,0)</f>
        <v>0</v>
      </c>
      <c r="AG225" s="40">
        <f>IF(AQ225="2",BI225,0)</f>
        <v>0</v>
      </c>
      <c r="AH225" s="40">
        <f>IF(AQ225="0",BJ225,0)</f>
        <v>0</v>
      </c>
      <c r="AI225" s="11" t="s">
        <v>255</v>
      </c>
      <c r="AJ225" s="40">
        <f>IF(AN225=0,L225,0)</f>
        <v>0</v>
      </c>
      <c r="AK225" s="40">
        <f>IF(AN225=15,L225,0)</f>
        <v>0</v>
      </c>
      <c r="AL225" s="40">
        <f>IF(AN225=21,L225,0)</f>
        <v>0</v>
      </c>
      <c r="AN225" s="40">
        <v>21</v>
      </c>
      <c r="AO225" s="40">
        <f>I225*0</f>
        <v>0</v>
      </c>
      <c r="AP225" s="40">
        <f>I225*(1-0)</f>
        <v>0</v>
      </c>
      <c r="AQ225" s="17" t="s">
        <v>1260</v>
      </c>
      <c r="AV225" s="40">
        <f>AW225+AX225</f>
        <v>0</v>
      </c>
      <c r="AW225" s="40">
        <f>H225*AO225</f>
        <v>0</v>
      </c>
      <c r="AX225" s="40">
        <f>H225*AP225</f>
        <v>0</v>
      </c>
      <c r="AY225" s="17" t="s">
        <v>1141</v>
      </c>
      <c r="AZ225" s="17" t="s">
        <v>396</v>
      </c>
      <c r="BA225" s="11" t="s">
        <v>921</v>
      </c>
      <c r="BC225" s="40">
        <f>AW225+AX225</f>
        <v>0</v>
      </c>
      <c r="BD225" s="40">
        <f>I225/(100-BE225)*100</f>
        <v>0</v>
      </c>
      <c r="BE225" s="40">
        <v>0</v>
      </c>
      <c r="BF225" s="40">
        <f>225</f>
        <v>225</v>
      </c>
      <c r="BH225" s="40">
        <f>H225*AO225</f>
        <v>0</v>
      </c>
      <c r="BI225" s="40">
        <f>H225*AP225</f>
        <v>0</v>
      </c>
      <c r="BJ225" s="40">
        <f>H225*I225</f>
        <v>0</v>
      </c>
      <c r="BK225" s="40"/>
      <c r="BL225" s="40">
        <v>13</v>
      </c>
    </row>
    <row r="226" spans="1:47" ht="15" customHeight="1">
      <c r="A226" s="24" t="s">
        <v>878</v>
      </c>
      <c r="B226" s="66" t="s">
        <v>751</v>
      </c>
      <c r="C226" s="92" t="s">
        <v>729</v>
      </c>
      <c r="D226" s="92"/>
      <c r="E226" s="92"/>
      <c r="F226" s="92"/>
      <c r="G226" s="3" t="s">
        <v>1172</v>
      </c>
      <c r="H226" s="3" t="s">
        <v>1172</v>
      </c>
      <c r="I226" s="3" t="s">
        <v>1172</v>
      </c>
      <c r="J226" s="63">
        <f>SUM(J227:J228)</f>
        <v>0</v>
      </c>
      <c r="K226" s="63">
        <f>SUM(K227:K228)</f>
        <v>0</v>
      </c>
      <c r="L226" s="63">
        <f>SUM(L227:L228)</f>
        <v>0</v>
      </c>
      <c r="M226" s="4" t="s">
        <v>878</v>
      </c>
      <c r="AI226" s="11" t="s">
        <v>255</v>
      </c>
      <c r="AS226" s="63">
        <f>SUM(AJ227:AJ228)</f>
        <v>0</v>
      </c>
      <c r="AT226" s="63">
        <f>SUM(AK227:AK228)</f>
        <v>0</v>
      </c>
      <c r="AU226" s="63">
        <f>SUM(AL227:AL228)</f>
        <v>0</v>
      </c>
    </row>
    <row r="227" spans="1:64" ht="15" customHeight="1">
      <c r="A227" s="19" t="s">
        <v>937</v>
      </c>
      <c r="B227" s="59" t="s">
        <v>1231</v>
      </c>
      <c r="C227" s="76" t="s">
        <v>417</v>
      </c>
      <c r="D227" s="76"/>
      <c r="E227" s="76"/>
      <c r="F227" s="76"/>
      <c r="G227" s="59" t="s">
        <v>1041</v>
      </c>
      <c r="H227" s="40">
        <v>10</v>
      </c>
      <c r="I227" s="40">
        <v>0</v>
      </c>
      <c r="J227" s="40">
        <f>H227*AO227</f>
        <v>0</v>
      </c>
      <c r="K227" s="40">
        <f>H227*AP227</f>
        <v>0</v>
      </c>
      <c r="L227" s="40">
        <f>H227*I227</f>
        <v>0</v>
      </c>
      <c r="M227" s="69" t="s">
        <v>868</v>
      </c>
      <c r="Z227" s="40">
        <f>IF(AQ227="5",BJ227,0)</f>
        <v>0</v>
      </c>
      <c r="AB227" s="40">
        <f>IF(AQ227="1",BH227,0)</f>
        <v>0</v>
      </c>
      <c r="AC227" s="40">
        <f>IF(AQ227="1",BI227,0)</f>
        <v>0</v>
      </c>
      <c r="AD227" s="40">
        <f>IF(AQ227="7",BH227,0)</f>
        <v>0</v>
      </c>
      <c r="AE227" s="40">
        <f>IF(AQ227="7",BI227,0)</f>
        <v>0</v>
      </c>
      <c r="AF227" s="40">
        <f>IF(AQ227="2",BH227,0)</f>
        <v>0</v>
      </c>
      <c r="AG227" s="40">
        <f>IF(AQ227="2",BI227,0)</f>
        <v>0</v>
      </c>
      <c r="AH227" s="40">
        <f>IF(AQ227="0",BJ227,0)</f>
        <v>0</v>
      </c>
      <c r="AI227" s="11" t="s">
        <v>255</v>
      </c>
      <c r="AJ227" s="40">
        <f>IF(AN227=0,L227,0)</f>
        <v>0</v>
      </c>
      <c r="AK227" s="40">
        <f>IF(AN227=15,L227,0)</f>
        <v>0</v>
      </c>
      <c r="AL227" s="40">
        <f>IF(AN227=21,L227,0)</f>
        <v>0</v>
      </c>
      <c r="AN227" s="40">
        <v>21</v>
      </c>
      <c r="AO227" s="40">
        <f>I227*0.0253508005822416</f>
        <v>0</v>
      </c>
      <c r="AP227" s="40">
        <f>I227*(1-0.0253508005822416)</f>
        <v>0</v>
      </c>
      <c r="AQ227" s="17" t="s">
        <v>1260</v>
      </c>
      <c r="AV227" s="40">
        <f>AW227+AX227</f>
        <v>0</v>
      </c>
      <c r="AW227" s="40">
        <f>H227*AO227</f>
        <v>0</v>
      </c>
      <c r="AX227" s="40">
        <f>H227*AP227</f>
        <v>0</v>
      </c>
      <c r="AY227" s="17" t="s">
        <v>1324</v>
      </c>
      <c r="AZ227" s="17" t="s">
        <v>396</v>
      </c>
      <c r="BA227" s="11" t="s">
        <v>921</v>
      </c>
      <c r="BC227" s="40">
        <f>AW227+AX227</f>
        <v>0</v>
      </c>
      <c r="BD227" s="40">
        <f>I227/(100-BE227)*100</f>
        <v>0</v>
      </c>
      <c r="BE227" s="40">
        <v>0</v>
      </c>
      <c r="BF227" s="40">
        <f>227</f>
        <v>227</v>
      </c>
      <c r="BH227" s="40">
        <f>H227*AO227</f>
        <v>0</v>
      </c>
      <c r="BI227" s="40">
        <f>H227*AP227</f>
        <v>0</v>
      </c>
      <c r="BJ227" s="40">
        <f>H227*I227</f>
        <v>0</v>
      </c>
      <c r="BK227" s="40"/>
      <c r="BL227" s="40">
        <v>14</v>
      </c>
    </row>
    <row r="228" spans="1:64" ht="15" customHeight="1">
      <c r="A228" s="19" t="s">
        <v>1191</v>
      </c>
      <c r="B228" s="59" t="s">
        <v>1359</v>
      </c>
      <c r="C228" s="76" t="s">
        <v>182</v>
      </c>
      <c r="D228" s="76"/>
      <c r="E228" s="76"/>
      <c r="F228" s="76"/>
      <c r="G228" s="59" t="s">
        <v>1041</v>
      </c>
      <c r="H228" s="40">
        <v>10</v>
      </c>
      <c r="I228" s="40">
        <v>0</v>
      </c>
      <c r="J228" s="40">
        <f>H228*AO228</f>
        <v>0</v>
      </c>
      <c r="K228" s="40">
        <f>H228*AP228</f>
        <v>0</v>
      </c>
      <c r="L228" s="40">
        <f>H228*I228</f>
        <v>0</v>
      </c>
      <c r="M228" s="69" t="s">
        <v>868</v>
      </c>
      <c r="Z228" s="40">
        <f>IF(AQ228="5",BJ228,0)</f>
        <v>0</v>
      </c>
      <c r="AB228" s="40">
        <f>IF(AQ228="1",BH228,0)</f>
        <v>0</v>
      </c>
      <c r="AC228" s="40">
        <f>IF(AQ228="1",BI228,0)</f>
        <v>0</v>
      </c>
      <c r="AD228" s="40">
        <f>IF(AQ228="7",BH228,0)</f>
        <v>0</v>
      </c>
      <c r="AE228" s="40">
        <f>IF(AQ228="7",BI228,0)</f>
        <v>0</v>
      </c>
      <c r="AF228" s="40">
        <f>IF(AQ228="2",BH228,0)</f>
        <v>0</v>
      </c>
      <c r="AG228" s="40">
        <f>IF(AQ228="2",BI228,0)</f>
        <v>0</v>
      </c>
      <c r="AH228" s="40">
        <f>IF(AQ228="0",BJ228,0)</f>
        <v>0</v>
      </c>
      <c r="AI228" s="11" t="s">
        <v>255</v>
      </c>
      <c r="AJ228" s="40">
        <f>IF(AN228=0,L228,0)</f>
        <v>0</v>
      </c>
      <c r="AK228" s="40">
        <f>IF(AN228=15,L228,0)</f>
        <v>0</v>
      </c>
      <c r="AL228" s="40">
        <f>IF(AN228=21,L228,0)</f>
        <v>0</v>
      </c>
      <c r="AN228" s="40">
        <v>21</v>
      </c>
      <c r="AO228" s="40">
        <f>I228*1</f>
        <v>0</v>
      </c>
      <c r="AP228" s="40">
        <f>I228*(1-1)</f>
        <v>0</v>
      </c>
      <c r="AQ228" s="17" t="s">
        <v>1260</v>
      </c>
      <c r="AV228" s="40">
        <f>AW228+AX228</f>
        <v>0</v>
      </c>
      <c r="AW228" s="40">
        <f>H228*AO228</f>
        <v>0</v>
      </c>
      <c r="AX228" s="40">
        <f>H228*AP228</f>
        <v>0</v>
      </c>
      <c r="AY228" s="17" t="s">
        <v>1324</v>
      </c>
      <c r="AZ228" s="17" t="s">
        <v>396</v>
      </c>
      <c r="BA228" s="11" t="s">
        <v>921</v>
      </c>
      <c r="BC228" s="40">
        <f>AW228+AX228</f>
        <v>0</v>
      </c>
      <c r="BD228" s="40">
        <f>I228/(100-BE228)*100</f>
        <v>0</v>
      </c>
      <c r="BE228" s="40">
        <v>0</v>
      </c>
      <c r="BF228" s="40">
        <f>228</f>
        <v>228</v>
      </c>
      <c r="BH228" s="40">
        <f>H228*AO228</f>
        <v>0</v>
      </c>
      <c r="BI228" s="40">
        <f>H228*AP228</f>
        <v>0</v>
      </c>
      <c r="BJ228" s="40">
        <f>H228*I228</f>
        <v>0</v>
      </c>
      <c r="BK228" s="40"/>
      <c r="BL228" s="40">
        <v>14</v>
      </c>
    </row>
    <row r="229" spans="1:47" ht="15" customHeight="1">
      <c r="A229" s="24" t="s">
        <v>878</v>
      </c>
      <c r="B229" s="66" t="s">
        <v>484</v>
      </c>
      <c r="C229" s="92" t="s">
        <v>1090</v>
      </c>
      <c r="D229" s="92"/>
      <c r="E229" s="92"/>
      <c r="F229" s="92"/>
      <c r="G229" s="3" t="s">
        <v>1172</v>
      </c>
      <c r="H229" s="3" t="s">
        <v>1172</v>
      </c>
      <c r="I229" s="3" t="s">
        <v>1172</v>
      </c>
      <c r="J229" s="63">
        <f>SUM(J230:J231)</f>
        <v>0</v>
      </c>
      <c r="K229" s="63">
        <f>SUM(K230:K231)</f>
        <v>0</v>
      </c>
      <c r="L229" s="63">
        <f>SUM(L230:L231)</f>
        <v>0</v>
      </c>
      <c r="M229" s="4" t="s">
        <v>878</v>
      </c>
      <c r="AI229" s="11" t="s">
        <v>255</v>
      </c>
      <c r="AS229" s="63">
        <f>SUM(AJ230:AJ231)</f>
        <v>0</v>
      </c>
      <c r="AT229" s="63">
        <f>SUM(AK230:AK231)</f>
        <v>0</v>
      </c>
      <c r="AU229" s="63">
        <f>SUM(AL230:AL231)</f>
        <v>0</v>
      </c>
    </row>
    <row r="230" spans="1:64" ht="15" customHeight="1">
      <c r="A230" s="19" t="s">
        <v>228</v>
      </c>
      <c r="B230" s="59" t="s">
        <v>160</v>
      </c>
      <c r="C230" s="76" t="s">
        <v>384</v>
      </c>
      <c r="D230" s="76"/>
      <c r="E230" s="76"/>
      <c r="F230" s="76"/>
      <c r="G230" s="59" t="s">
        <v>1243</v>
      </c>
      <c r="H230" s="40">
        <v>2980.4</v>
      </c>
      <c r="I230" s="40">
        <v>0</v>
      </c>
      <c r="J230" s="40">
        <f>H230*AO230</f>
        <v>0</v>
      </c>
      <c r="K230" s="40">
        <f>H230*AP230</f>
        <v>0</v>
      </c>
      <c r="L230" s="40">
        <f>H230*I230</f>
        <v>0</v>
      </c>
      <c r="M230" s="69" t="s">
        <v>868</v>
      </c>
      <c r="Z230" s="40">
        <f>IF(AQ230="5",BJ230,0)</f>
        <v>0</v>
      </c>
      <c r="AB230" s="40">
        <f>IF(AQ230="1",BH230,0)</f>
        <v>0</v>
      </c>
      <c r="AC230" s="40">
        <f>IF(AQ230="1",BI230,0)</f>
        <v>0</v>
      </c>
      <c r="AD230" s="40">
        <f>IF(AQ230="7",BH230,0)</f>
        <v>0</v>
      </c>
      <c r="AE230" s="40">
        <f>IF(AQ230="7",BI230,0)</f>
        <v>0</v>
      </c>
      <c r="AF230" s="40">
        <f>IF(AQ230="2",BH230,0)</f>
        <v>0</v>
      </c>
      <c r="AG230" s="40">
        <f>IF(AQ230="2",BI230,0)</f>
        <v>0</v>
      </c>
      <c r="AH230" s="40">
        <f>IF(AQ230="0",BJ230,0)</f>
        <v>0</v>
      </c>
      <c r="AI230" s="11" t="s">
        <v>255</v>
      </c>
      <c r="AJ230" s="40">
        <f>IF(AN230=0,L230,0)</f>
        <v>0</v>
      </c>
      <c r="AK230" s="40">
        <f>IF(AN230=15,L230,0)</f>
        <v>0</v>
      </c>
      <c r="AL230" s="40">
        <f>IF(AN230=21,L230,0)</f>
        <v>0</v>
      </c>
      <c r="AN230" s="40">
        <v>21</v>
      </c>
      <c r="AO230" s="40">
        <f>I230*0.0997231833910035</f>
        <v>0</v>
      </c>
      <c r="AP230" s="40">
        <f>I230*(1-0.0997231833910035)</f>
        <v>0</v>
      </c>
      <c r="AQ230" s="17" t="s">
        <v>1260</v>
      </c>
      <c r="AV230" s="40">
        <f>AW230+AX230</f>
        <v>0</v>
      </c>
      <c r="AW230" s="40">
        <f>H230*AO230</f>
        <v>0</v>
      </c>
      <c r="AX230" s="40">
        <f>H230*AP230</f>
        <v>0</v>
      </c>
      <c r="AY230" s="17" t="s">
        <v>894</v>
      </c>
      <c r="AZ230" s="17" t="s">
        <v>396</v>
      </c>
      <c r="BA230" s="11" t="s">
        <v>921</v>
      </c>
      <c r="BC230" s="40">
        <f>AW230+AX230</f>
        <v>0</v>
      </c>
      <c r="BD230" s="40">
        <f>I230/(100-BE230)*100</f>
        <v>0</v>
      </c>
      <c r="BE230" s="40">
        <v>0</v>
      </c>
      <c r="BF230" s="40">
        <f>230</f>
        <v>230</v>
      </c>
      <c r="BH230" s="40">
        <f>H230*AO230</f>
        <v>0</v>
      </c>
      <c r="BI230" s="40">
        <f>H230*AP230</f>
        <v>0</v>
      </c>
      <c r="BJ230" s="40">
        <f>H230*I230</f>
        <v>0</v>
      </c>
      <c r="BK230" s="40"/>
      <c r="BL230" s="40">
        <v>15</v>
      </c>
    </row>
    <row r="231" spans="1:64" ht="15" customHeight="1">
      <c r="A231" s="19" t="s">
        <v>580</v>
      </c>
      <c r="B231" s="59" t="s">
        <v>467</v>
      </c>
      <c r="C231" s="76" t="s">
        <v>469</v>
      </c>
      <c r="D231" s="76"/>
      <c r="E231" s="76"/>
      <c r="F231" s="76"/>
      <c r="G231" s="59" t="s">
        <v>1243</v>
      </c>
      <c r="H231" s="40">
        <v>2980.4</v>
      </c>
      <c r="I231" s="40">
        <v>0</v>
      </c>
      <c r="J231" s="40">
        <f>H231*AO231</f>
        <v>0</v>
      </c>
      <c r="K231" s="40">
        <f>H231*AP231</f>
        <v>0</v>
      </c>
      <c r="L231" s="40">
        <f>H231*I231</f>
        <v>0</v>
      </c>
      <c r="M231" s="69" t="s">
        <v>868</v>
      </c>
      <c r="Z231" s="40">
        <f>IF(AQ231="5",BJ231,0)</f>
        <v>0</v>
      </c>
      <c r="AB231" s="40">
        <f>IF(AQ231="1",BH231,0)</f>
        <v>0</v>
      </c>
      <c r="AC231" s="40">
        <f>IF(AQ231="1",BI231,0)</f>
        <v>0</v>
      </c>
      <c r="AD231" s="40">
        <f>IF(AQ231="7",BH231,0)</f>
        <v>0</v>
      </c>
      <c r="AE231" s="40">
        <f>IF(AQ231="7",BI231,0)</f>
        <v>0</v>
      </c>
      <c r="AF231" s="40">
        <f>IF(AQ231="2",BH231,0)</f>
        <v>0</v>
      </c>
      <c r="AG231" s="40">
        <f>IF(AQ231="2",BI231,0)</f>
        <v>0</v>
      </c>
      <c r="AH231" s="40">
        <f>IF(AQ231="0",BJ231,0)</f>
        <v>0</v>
      </c>
      <c r="AI231" s="11" t="s">
        <v>255</v>
      </c>
      <c r="AJ231" s="40">
        <f>IF(AN231=0,L231,0)</f>
        <v>0</v>
      </c>
      <c r="AK231" s="40">
        <f>IF(AN231=15,L231,0)</f>
        <v>0</v>
      </c>
      <c r="AL231" s="40">
        <f>IF(AN231=21,L231,0)</f>
        <v>0</v>
      </c>
      <c r="AN231" s="40">
        <v>21</v>
      </c>
      <c r="AO231" s="40">
        <f>I231*0</f>
        <v>0</v>
      </c>
      <c r="AP231" s="40">
        <f>I231*(1-0)</f>
        <v>0</v>
      </c>
      <c r="AQ231" s="17" t="s">
        <v>1260</v>
      </c>
      <c r="AV231" s="40">
        <f>AW231+AX231</f>
        <v>0</v>
      </c>
      <c r="AW231" s="40">
        <f>H231*AO231</f>
        <v>0</v>
      </c>
      <c r="AX231" s="40">
        <f>H231*AP231</f>
        <v>0</v>
      </c>
      <c r="AY231" s="17" t="s">
        <v>894</v>
      </c>
      <c r="AZ231" s="17" t="s">
        <v>396</v>
      </c>
      <c r="BA231" s="11" t="s">
        <v>921</v>
      </c>
      <c r="BC231" s="40">
        <f>AW231+AX231</f>
        <v>0</v>
      </c>
      <c r="BD231" s="40">
        <f>I231/(100-BE231)*100</f>
        <v>0</v>
      </c>
      <c r="BE231" s="40">
        <v>0</v>
      </c>
      <c r="BF231" s="40">
        <f>231</f>
        <v>231</v>
      </c>
      <c r="BH231" s="40">
        <f>H231*AO231</f>
        <v>0</v>
      </c>
      <c r="BI231" s="40">
        <f>H231*AP231</f>
        <v>0</v>
      </c>
      <c r="BJ231" s="40">
        <f>H231*I231</f>
        <v>0</v>
      </c>
      <c r="BK231" s="40"/>
      <c r="BL231" s="40">
        <v>15</v>
      </c>
    </row>
    <row r="232" spans="1:47" ht="15" customHeight="1">
      <c r="A232" s="24" t="s">
        <v>878</v>
      </c>
      <c r="B232" s="66" t="s">
        <v>123</v>
      </c>
      <c r="C232" s="92" t="s">
        <v>1052</v>
      </c>
      <c r="D232" s="92"/>
      <c r="E232" s="92"/>
      <c r="F232" s="92"/>
      <c r="G232" s="3" t="s">
        <v>1172</v>
      </c>
      <c r="H232" s="3" t="s">
        <v>1172</v>
      </c>
      <c r="I232" s="3" t="s">
        <v>1172</v>
      </c>
      <c r="J232" s="63">
        <f>SUM(J233:J234)</f>
        <v>0</v>
      </c>
      <c r="K232" s="63">
        <f>SUM(K233:K234)</f>
        <v>0</v>
      </c>
      <c r="L232" s="63">
        <f>SUM(L233:L234)</f>
        <v>0</v>
      </c>
      <c r="M232" s="4" t="s">
        <v>878</v>
      </c>
      <c r="AI232" s="11" t="s">
        <v>255</v>
      </c>
      <c r="AS232" s="63">
        <f>SUM(AJ233:AJ234)</f>
        <v>0</v>
      </c>
      <c r="AT232" s="63">
        <f>SUM(AK233:AK234)</f>
        <v>0</v>
      </c>
      <c r="AU232" s="63">
        <f>SUM(AL233:AL234)</f>
        <v>0</v>
      </c>
    </row>
    <row r="233" spans="1:64" ht="15" customHeight="1">
      <c r="A233" s="19" t="s">
        <v>696</v>
      </c>
      <c r="B233" s="59" t="s">
        <v>20</v>
      </c>
      <c r="C233" s="76" t="s">
        <v>1058</v>
      </c>
      <c r="D233" s="76"/>
      <c r="E233" s="76"/>
      <c r="F233" s="76"/>
      <c r="G233" s="59" t="s">
        <v>1220</v>
      </c>
      <c r="H233" s="40">
        <v>472.13</v>
      </c>
      <c r="I233" s="40">
        <v>0</v>
      </c>
      <c r="J233" s="40">
        <f>H233*AO233</f>
        <v>0</v>
      </c>
      <c r="K233" s="40">
        <f>H233*AP233</f>
        <v>0</v>
      </c>
      <c r="L233" s="40">
        <f>H233*I233</f>
        <v>0</v>
      </c>
      <c r="M233" s="69" t="s">
        <v>868</v>
      </c>
      <c r="Z233" s="40">
        <f>IF(AQ233="5",BJ233,0)</f>
        <v>0</v>
      </c>
      <c r="AB233" s="40">
        <f>IF(AQ233="1",BH233,0)</f>
        <v>0</v>
      </c>
      <c r="AC233" s="40">
        <f>IF(AQ233="1",BI233,0)</f>
        <v>0</v>
      </c>
      <c r="AD233" s="40">
        <f>IF(AQ233="7",BH233,0)</f>
        <v>0</v>
      </c>
      <c r="AE233" s="40">
        <f>IF(AQ233="7",BI233,0)</f>
        <v>0</v>
      </c>
      <c r="AF233" s="40">
        <f>IF(AQ233="2",BH233,0)</f>
        <v>0</v>
      </c>
      <c r="AG233" s="40">
        <f>IF(AQ233="2",BI233,0)</f>
        <v>0</v>
      </c>
      <c r="AH233" s="40">
        <f>IF(AQ233="0",BJ233,0)</f>
        <v>0</v>
      </c>
      <c r="AI233" s="11" t="s">
        <v>255</v>
      </c>
      <c r="AJ233" s="40">
        <f>IF(AN233=0,L233,0)</f>
        <v>0</v>
      </c>
      <c r="AK233" s="40">
        <f>IF(AN233=15,L233,0)</f>
        <v>0</v>
      </c>
      <c r="AL233" s="40">
        <f>IF(AN233=21,L233,0)</f>
        <v>0</v>
      </c>
      <c r="AN233" s="40">
        <v>21</v>
      </c>
      <c r="AO233" s="40">
        <f>I233*0</f>
        <v>0</v>
      </c>
      <c r="AP233" s="40">
        <f>I233*(1-0)</f>
        <v>0</v>
      </c>
      <c r="AQ233" s="17" t="s">
        <v>1260</v>
      </c>
      <c r="AV233" s="40">
        <f>AW233+AX233</f>
        <v>0</v>
      </c>
      <c r="AW233" s="40">
        <f>H233*AO233</f>
        <v>0</v>
      </c>
      <c r="AX233" s="40">
        <f>H233*AP233</f>
        <v>0</v>
      </c>
      <c r="AY233" s="17" t="s">
        <v>1175</v>
      </c>
      <c r="AZ233" s="17" t="s">
        <v>396</v>
      </c>
      <c r="BA233" s="11" t="s">
        <v>921</v>
      </c>
      <c r="BC233" s="40">
        <f>AW233+AX233</f>
        <v>0</v>
      </c>
      <c r="BD233" s="40">
        <f>I233/(100-BE233)*100</f>
        <v>0</v>
      </c>
      <c r="BE233" s="40">
        <v>0</v>
      </c>
      <c r="BF233" s="40">
        <f>233</f>
        <v>233</v>
      </c>
      <c r="BH233" s="40">
        <f>H233*AO233</f>
        <v>0</v>
      </c>
      <c r="BI233" s="40">
        <f>H233*AP233</f>
        <v>0</v>
      </c>
      <c r="BJ233" s="40">
        <f>H233*I233</f>
        <v>0</v>
      </c>
      <c r="BK233" s="40"/>
      <c r="BL233" s="40">
        <v>16</v>
      </c>
    </row>
    <row r="234" spans="1:64" ht="15" customHeight="1">
      <c r="A234" s="19" t="s">
        <v>1139</v>
      </c>
      <c r="B234" s="59" t="s">
        <v>572</v>
      </c>
      <c r="C234" s="76" t="s">
        <v>677</v>
      </c>
      <c r="D234" s="76"/>
      <c r="E234" s="76"/>
      <c r="F234" s="76"/>
      <c r="G234" s="59" t="s">
        <v>1220</v>
      </c>
      <c r="H234" s="40">
        <v>4721.3</v>
      </c>
      <c r="I234" s="40">
        <v>0</v>
      </c>
      <c r="J234" s="40">
        <f>H234*AO234</f>
        <v>0</v>
      </c>
      <c r="K234" s="40">
        <f>H234*AP234</f>
        <v>0</v>
      </c>
      <c r="L234" s="40">
        <f>H234*I234</f>
        <v>0</v>
      </c>
      <c r="M234" s="69" t="s">
        <v>868</v>
      </c>
      <c r="Z234" s="40">
        <f>IF(AQ234="5",BJ234,0)</f>
        <v>0</v>
      </c>
      <c r="AB234" s="40">
        <f>IF(AQ234="1",BH234,0)</f>
        <v>0</v>
      </c>
      <c r="AC234" s="40">
        <f>IF(AQ234="1",BI234,0)</f>
        <v>0</v>
      </c>
      <c r="AD234" s="40">
        <f>IF(AQ234="7",BH234,0)</f>
        <v>0</v>
      </c>
      <c r="AE234" s="40">
        <f>IF(AQ234="7",BI234,0)</f>
        <v>0</v>
      </c>
      <c r="AF234" s="40">
        <f>IF(AQ234="2",BH234,0)</f>
        <v>0</v>
      </c>
      <c r="AG234" s="40">
        <f>IF(AQ234="2",BI234,0)</f>
        <v>0</v>
      </c>
      <c r="AH234" s="40">
        <f>IF(AQ234="0",BJ234,0)</f>
        <v>0</v>
      </c>
      <c r="AI234" s="11" t="s">
        <v>255</v>
      </c>
      <c r="AJ234" s="40">
        <f>IF(AN234=0,L234,0)</f>
        <v>0</v>
      </c>
      <c r="AK234" s="40">
        <f>IF(AN234=15,L234,0)</f>
        <v>0</v>
      </c>
      <c r="AL234" s="40">
        <f>IF(AN234=21,L234,0)</f>
        <v>0</v>
      </c>
      <c r="AN234" s="40">
        <v>21</v>
      </c>
      <c r="AO234" s="40">
        <f>I234*0</f>
        <v>0</v>
      </c>
      <c r="AP234" s="40">
        <f>I234*(1-0)</f>
        <v>0</v>
      </c>
      <c r="AQ234" s="17" t="s">
        <v>1260</v>
      </c>
      <c r="AV234" s="40">
        <f>AW234+AX234</f>
        <v>0</v>
      </c>
      <c r="AW234" s="40">
        <f>H234*AO234</f>
        <v>0</v>
      </c>
      <c r="AX234" s="40">
        <f>H234*AP234</f>
        <v>0</v>
      </c>
      <c r="AY234" s="17" t="s">
        <v>1175</v>
      </c>
      <c r="AZ234" s="17" t="s">
        <v>396</v>
      </c>
      <c r="BA234" s="11" t="s">
        <v>921</v>
      </c>
      <c r="BC234" s="40">
        <f>AW234+AX234</f>
        <v>0</v>
      </c>
      <c r="BD234" s="40">
        <f>I234/(100-BE234)*100</f>
        <v>0</v>
      </c>
      <c r="BE234" s="40">
        <v>0</v>
      </c>
      <c r="BF234" s="40">
        <f>234</f>
        <v>234</v>
      </c>
      <c r="BH234" s="40">
        <f>H234*AO234</f>
        <v>0</v>
      </c>
      <c r="BI234" s="40">
        <f>H234*AP234</f>
        <v>0</v>
      </c>
      <c r="BJ234" s="40">
        <f>H234*I234</f>
        <v>0</v>
      </c>
      <c r="BK234" s="40"/>
      <c r="BL234" s="40">
        <v>16</v>
      </c>
    </row>
    <row r="235" spans="1:47" ht="15" customHeight="1">
      <c r="A235" s="24" t="s">
        <v>878</v>
      </c>
      <c r="B235" s="66" t="s">
        <v>885</v>
      </c>
      <c r="C235" s="92" t="s">
        <v>179</v>
      </c>
      <c r="D235" s="92"/>
      <c r="E235" s="92"/>
      <c r="F235" s="92"/>
      <c r="G235" s="3" t="s">
        <v>1172</v>
      </c>
      <c r="H235" s="3" t="s">
        <v>1172</v>
      </c>
      <c r="I235" s="3" t="s">
        <v>1172</v>
      </c>
      <c r="J235" s="63">
        <f>SUM(J236:J237)</f>
        <v>0</v>
      </c>
      <c r="K235" s="63">
        <f>SUM(K236:K237)</f>
        <v>0</v>
      </c>
      <c r="L235" s="63">
        <f>SUM(L236:L237)</f>
        <v>0</v>
      </c>
      <c r="M235" s="4" t="s">
        <v>878</v>
      </c>
      <c r="AI235" s="11" t="s">
        <v>255</v>
      </c>
      <c r="AS235" s="63">
        <f>SUM(AJ236:AJ237)</f>
        <v>0</v>
      </c>
      <c r="AT235" s="63">
        <f>SUM(AK236:AK237)</f>
        <v>0</v>
      </c>
      <c r="AU235" s="63">
        <f>SUM(AL236:AL237)</f>
        <v>0</v>
      </c>
    </row>
    <row r="236" spans="1:64" ht="15" customHeight="1">
      <c r="A236" s="19" t="s">
        <v>1279</v>
      </c>
      <c r="B236" s="59" t="s">
        <v>1104</v>
      </c>
      <c r="C236" s="76" t="s">
        <v>43</v>
      </c>
      <c r="D236" s="76"/>
      <c r="E236" s="76"/>
      <c r="F236" s="76"/>
      <c r="G236" s="59" t="s">
        <v>1220</v>
      </c>
      <c r="H236" s="40">
        <v>375.482</v>
      </c>
      <c r="I236" s="40">
        <v>0</v>
      </c>
      <c r="J236" s="40">
        <f>H236*AO236</f>
        <v>0</v>
      </c>
      <c r="K236" s="40">
        <f>H236*AP236</f>
        <v>0</v>
      </c>
      <c r="L236" s="40">
        <f>H236*I236</f>
        <v>0</v>
      </c>
      <c r="M236" s="69" t="s">
        <v>868</v>
      </c>
      <c r="Z236" s="40">
        <f>IF(AQ236="5",BJ236,0)</f>
        <v>0</v>
      </c>
      <c r="AB236" s="40">
        <f>IF(AQ236="1",BH236,0)</f>
        <v>0</v>
      </c>
      <c r="AC236" s="40">
        <f>IF(AQ236="1",BI236,0)</f>
        <v>0</v>
      </c>
      <c r="AD236" s="40">
        <f>IF(AQ236="7",BH236,0)</f>
        <v>0</v>
      </c>
      <c r="AE236" s="40">
        <f>IF(AQ236="7",BI236,0)</f>
        <v>0</v>
      </c>
      <c r="AF236" s="40">
        <f>IF(AQ236="2",BH236,0)</f>
        <v>0</v>
      </c>
      <c r="AG236" s="40">
        <f>IF(AQ236="2",BI236,0)</f>
        <v>0</v>
      </c>
      <c r="AH236" s="40">
        <f>IF(AQ236="0",BJ236,0)</f>
        <v>0</v>
      </c>
      <c r="AI236" s="11" t="s">
        <v>255</v>
      </c>
      <c r="AJ236" s="40">
        <f>IF(AN236=0,L236,0)</f>
        <v>0</v>
      </c>
      <c r="AK236" s="40">
        <f>IF(AN236=15,L236,0)</f>
        <v>0</v>
      </c>
      <c r="AL236" s="40">
        <f>IF(AN236=21,L236,0)</f>
        <v>0</v>
      </c>
      <c r="AN236" s="40">
        <v>21</v>
      </c>
      <c r="AO236" s="40">
        <f>I236*0.503380668173122</f>
        <v>0</v>
      </c>
      <c r="AP236" s="40">
        <f>I236*(1-0.503380668173122)</f>
        <v>0</v>
      </c>
      <c r="AQ236" s="17" t="s">
        <v>1260</v>
      </c>
      <c r="AV236" s="40">
        <f>AW236+AX236</f>
        <v>0</v>
      </c>
      <c r="AW236" s="40">
        <f>H236*AO236</f>
        <v>0</v>
      </c>
      <c r="AX236" s="40">
        <f>H236*AP236</f>
        <v>0</v>
      </c>
      <c r="AY236" s="17" t="s">
        <v>251</v>
      </c>
      <c r="AZ236" s="17" t="s">
        <v>396</v>
      </c>
      <c r="BA236" s="11" t="s">
        <v>921</v>
      </c>
      <c r="BC236" s="40">
        <f>AW236+AX236</f>
        <v>0</v>
      </c>
      <c r="BD236" s="40">
        <f>I236/(100-BE236)*100</f>
        <v>0</v>
      </c>
      <c r="BE236" s="40">
        <v>0</v>
      </c>
      <c r="BF236" s="40">
        <f>236</f>
        <v>236</v>
      </c>
      <c r="BH236" s="40">
        <f>H236*AO236</f>
        <v>0</v>
      </c>
      <c r="BI236" s="40">
        <f>H236*AP236</f>
        <v>0</v>
      </c>
      <c r="BJ236" s="40">
        <f>H236*I236</f>
        <v>0</v>
      </c>
      <c r="BK236" s="40"/>
      <c r="BL236" s="40">
        <v>17</v>
      </c>
    </row>
    <row r="237" spans="1:64" ht="15" customHeight="1">
      <c r="A237" s="19" t="s">
        <v>11</v>
      </c>
      <c r="B237" s="59" t="s">
        <v>931</v>
      </c>
      <c r="C237" s="76" t="s">
        <v>652</v>
      </c>
      <c r="D237" s="76"/>
      <c r="E237" s="76"/>
      <c r="F237" s="76"/>
      <c r="G237" s="59" t="s">
        <v>1220</v>
      </c>
      <c r="H237" s="40">
        <v>1713.06508</v>
      </c>
      <c r="I237" s="40">
        <v>0</v>
      </c>
      <c r="J237" s="40">
        <f>H237*AO237</f>
        <v>0</v>
      </c>
      <c r="K237" s="40">
        <f>H237*AP237</f>
        <v>0</v>
      </c>
      <c r="L237" s="40">
        <f>H237*I237</f>
        <v>0</v>
      </c>
      <c r="M237" s="69" t="s">
        <v>868</v>
      </c>
      <c r="Z237" s="40">
        <f>IF(AQ237="5",BJ237,0)</f>
        <v>0</v>
      </c>
      <c r="AB237" s="40">
        <f>IF(AQ237="1",BH237,0)</f>
        <v>0</v>
      </c>
      <c r="AC237" s="40">
        <f>IF(AQ237="1",BI237,0)</f>
        <v>0</v>
      </c>
      <c r="AD237" s="40">
        <f>IF(AQ237="7",BH237,0)</f>
        <v>0</v>
      </c>
      <c r="AE237" s="40">
        <f>IF(AQ237="7",BI237,0)</f>
        <v>0</v>
      </c>
      <c r="AF237" s="40">
        <f>IF(AQ237="2",BH237,0)</f>
        <v>0</v>
      </c>
      <c r="AG237" s="40">
        <f>IF(AQ237="2",BI237,0)</f>
        <v>0</v>
      </c>
      <c r="AH237" s="40">
        <f>IF(AQ237="0",BJ237,0)</f>
        <v>0</v>
      </c>
      <c r="AI237" s="11" t="s">
        <v>255</v>
      </c>
      <c r="AJ237" s="40">
        <f>IF(AN237=0,L237,0)</f>
        <v>0</v>
      </c>
      <c r="AK237" s="40">
        <f>IF(AN237=15,L237,0)</f>
        <v>0</v>
      </c>
      <c r="AL237" s="40">
        <f>IF(AN237=21,L237,0)</f>
        <v>0</v>
      </c>
      <c r="AN237" s="40">
        <v>21</v>
      </c>
      <c r="AO237" s="40">
        <f>I237*0</f>
        <v>0</v>
      </c>
      <c r="AP237" s="40">
        <f>I237*(1-0)</f>
        <v>0</v>
      </c>
      <c r="AQ237" s="17" t="s">
        <v>1260</v>
      </c>
      <c r="AV237" s="40">
        <f>AW237+AX237</f>
        <v>0</v>
      </c>
      <c r="AW237" s="40">
        <f>H237*AO237</f>
        <v>0</v>
      </c>
      <c r="AX237" s="40">
        <f>H237*AP237</f>
        <v>0</v>
      </c>
      <c r="AY237" s="17" t="s">
        <v>251</v>
      </c>
      <c r="AZ237" s="17" t="s">
        <v>396</v>
      </c>
      <c r="BA237" s="11" t="s">
        <v>921</v>
      </c>
      <c r="BC237" s="40">
        <f>AW237+AX237</f>
        <v>0</v>
      </c>
      <c r="BD237" s="40">
        <f>I237/(100-BE237)*100</f>
        <v>0</v>
      </c>
      <c r="BE237" s="40">
        <v>0</v>
      </c>
      <c r="BF237" s="40">
        <f>237</f>
        <v>237</v>
      </c>
      <c r="BH237" s="40">
        <f>H237*AO237</f>
        <v>0</v>
      </c>
      <c r="BI237" s="40">
        <f>H237*AP237</f>
        <v>0</v>
      </c>
      <c r="BJ237" s="40">
        <f>H237*I237</f>
        <v>0</v>
      </c>
      <c r="BK237" s="40"/>
      <c r="BL237" s="40">
        <v>17</v>
      </c>
    </row>
    <row r="238" spans="1:47" ht="15" customHeight="1">
      <c r="A238" s="24" t="s">
        <v>878</v>
      </c>
      <c r="B238" s="66" t="s">
        <v>807</v>
      </c>
      <c r="C238" s="92" t="s">
        <v>428</v>
      </c>
      <c r="D238" s="92"/>
      <c r="E238" s="92"/>
      <c r="F238" s="92"/>
      <c r="G238" s="3" t="s">
        <v>1172</v>
      </c>
      <c r="H238" s="3" t="s">
        <v>1172</v>
      </c>
      <c r="I238" s="3" t="s">
        <v>1172</v>
      </c>
      <c r="J238" s="63">
        <f>SUM(J239:J239)</f>
        <v>0</v>
      </c>
      <c r="K238" s="63">
        <f>SUM(K239:K239)</f>
        <v>0</v>
      </c>
      <c r="L238" s="63">
        <f>SUM(L239:L239)</f>
        <v>0</v>
      </c>
      <c r="M238" s="4" t="s">
        <v>878</v>
      </c>
      <c r="AI238" s="11" t="s">
        <v>255</v>
      </c>
      <c r="AS238" s="63">
        <f>SUM(AJ239:AJ239)</f>
        <v>0</v>
      </c>
      <c r="AT238" s="63">
        <f>SUM(AK239:AK239)</f>
        <v>0</v>
      </c>
      <c r="AU238" s="63">
        <f>SUM(AL239:AL239)</f>
        <v>0</v>
      </c>
    </row>
    <row r="239" spans="1:64" ht="15" customHeight="1">
      <c r="A239" s="19" t="s">
        <v>53</v>
      </c>
      <c r="B239" s="59" t="s">
        <v>866</v>
      </c>
      <c r="C239" s="76" t="s">
        <v>1217</v>
      </c>
      <c r="D239" s="76"/>
      <c r="E239" s="76"/>
      <c r="F239" s="76"/>
      <c r="G239" s="59" t="s">
        <v>1220</v>
      </c>
      <c r="H239" s="40">
        <v>461.28</v>
      </c>
      <c r="I239" s="40">
        <v>0</v>
      </c>
      <c r="J239" s="40">
        <f>H239*AO239</f>
        <v>0</v>
      </c>
      <c r="K239" s="40">
        <f>H239*AP239</f>
        <v>0</v>
      </c>
      <c r="L239" s="40">
        <f>H239*I239</f>
        <v>0</v>
      </c>
      <c r="M239" s="69" t="s">
        <v>868</v>
      </c>
      <c r="Z239" s="40">
        <f>IF(AQ239="5",BJ239,0)</f>
        <v>0</v>
      </c>
      <c r="AB239" s="40">
        <f>IF(AQ239="1",BH239,0)</f>
        <v>0</v>
      </c>
      <c r="AC239" s="40">
        <f>IF(AQ239="1",BI239,0)</f>
        <v>0</v>
      </c>
      <c r="AD239" s="40">
        <f>IF(AQ239="7",BH239,0)</f>
        <v>0</v>
      </c>
      <c r="AE239" s="40">
        <f>IF(AQ239="7",BI239,0)</f>
        <v>0</v>
      </c>
      <c r="AF239" s="40">
        <f>IF(AQ239="2",BH239,0)</f>
        <v>0</v>
      </c>
      <c r="AG239" s="40">
        <f>IF(AQ239="2",BI239,0)</f>
        <v>0</v>
      </c>
      <c r="AH239" s="40">
        <f>IF(AQ239="0",BJ239,0)</f>
        <v>0</v>
      </c>
      <c r="AI239" s="11" t="s">
        <v>255</v>
      </c>
      <c r="AJ239" s="40">
        <f>IF(AN239=0,L239,0)</f>
        <v>0</v>
      </c>
      <c r="AK239" s="40">
        <f>IF(AN239=15,L239,0)</f>
        <v>0</v>
      </c>
      <c r="AL239" s="40">
        <f>IF(AN239=21,L239,0)</f>
        <v>0</v>
      </c>
      <c r="AN239" s="40">
        <v>21</v>
      </c>
      <c r="AO239" s="40">
        <f>I239*0</f>
        <v>0</v>
      </c>
      <c r="AP239" s="40">
        <f>I239*(1-0)</f>
        <v>0</v>
      </c>
      <c r="AQ239" s="17" t="s">
        <v>1260</v>
      </c>
      <c r="AV239" s="40">
        <f>AW239+AX239</f>
        <v>0</v>
      </c>
      <c r="AW239" s="40">
        <f>H239*AO239</f>
        <v>0</v>
      </c>
      <c r="AX239" s="40">
        <f>H239*AP239</f>
        <v>0</v>
      </c>
      <c r="AY239" s="17" t="s">
        <v>999</v>
      </c>
      <c r="AZ239" s="17" t="s">
        <v>396</v>
      </c>
      <c r="BA239" s="11" t="s">
        <v>921</v>
      </c>
      <c r="BC239" s="40">
        <f>AW239+AX239</f>
        <v>0</v>
      </c>
      <c r="BD239" s="40">
        <f>I239/(100-BE239)*100</f>
        <v>0</v>
      </c>
      <c r="BE239" s="40">
        <v>0</v>
      </c>
      <c r="BF239" s="40">
        <f>239</f>
        <v>239</v>
      </c>
      <c r="BH239" s="40">
        <f>H239*AO239</f>
        <v>0</v>
      </c>
      <c r="BI239" s="40">
        <f>H239*AP239</f>
        <v>0</v>
      </c>
      <c r="BJ239" s="40">
        <f>H239*I239</f>
        <v>0</v>
      </c>
      <c r="BK239" s="40"/>
      <c r="BL239" s="40">
        <v>19</v>
      </c>
    </row>
    <row r="240" spans="1:47" ht="15" customHeight="1">
      <c r="A240" s="24" t="s">
        <v>878</v>
      </c>
      <c r="B240" s="66" t="s">
        <v>432</v>
      </c>
      <c r="C240" s="92" t="s">
        <v>991</v>
      </c>
      <c r="D240" s="92"/>
      <c r="E240" s="92"/>
      <c r="F240" s="92"/>
      <c r="G240" s="3" t="s">
        <v>1172</v>
      </c>
      <c r="H240" s="3" t="s">
        <v>1172</v>
      </c>
      <c r="I240" s="3" t="s">
        <v>1172</v>
      </c>
      <c r="J240" s="63">
        <f>SUM(J241:J242)</f>
        <v>0</v>
      </c>
      <c r="K240" s="63">
        <f>SUM(K241:K242)</f>
        <v>0</v>
      </c>
      <c r="L240" s="63">
        <f>SUM(L241:L242)</f>
        <v>0</v>
      </c>
      <c r="M240" s="4" t="s">
        <v>878</v>
      </c>
      <c r="AI240" s="11" t="s">
        <v>255</v>
      </c>
      <c r="AS240" s="63">
        <f>SUM(AJ241:AJ242)</f>
        <v>0</v>
      </c>
      <c r="AT240" s="63">
        <f>SUM(AK241:AK242)</f>
        <v>0</v>
      </c>
      <c r="AU240" s="63">
        <f>SUM(AL241:AL242)</f>
        <v>0</v>
      </c>
    </row>
    <row r="241" spans="1:64" ht="15" customHeight="1">
      <c r="A241" s="19" t="s">
        <v>79</v>
      </c>
      <c r="B241" s="59" t="s">
        <v>898</v>
      </c>
      <c r="C241" s="76" t="s">
        <v>370</v>
      </c>
      <c r="D241" s="76"/>
      <c r="E241" s="76"/>
      <c r="F241" s="76"/>
      <c r="G241" s="59" t="s">
        <v>1220</v>
      </c>
      <c r="H241" s="40">
        <v>154.7267</v>
      </c>
      <c r="I241" s="40">
        <v>0</v>
      </c>
      <c r="J241" s="40">
        <f>H241*AO241</f>
        <v>0</v>
      </c>
      <c r="K241" s="40">
        <f>H241*AP241</f>
        <v>0</v>
      </c>
      <c r="L241" s="40">
        <f>H241*I241</f>
        <v>0</v>
      </c>
      <c r="M241" s="69" t="s">
        <v>868</v>
      </c>
      <c r="Z241" s="40">
        <f>IF(AQ241="5",BJ241,0)</f>
        <v>0</v>
      </c>
      <c r="AB241" s="40">
        <f>IF(AQ241="1",BH241,0)</f>
        <v>0</v>
      </c>
      <c r="AC241" s="40">
        <f>IF(AQ241="1",BI241,0)</f>
        <v>0</v>
      </c>
      <c r="AD241" s="40">
        <f>IF(AQ241="7",BH241,0)</f>
        <v>0</v>
      </c>
      <c r="AE241" s="40">
        <f>IF(AQ241="7",BI241,0)</f>
        <v>0</v>
      </c>
      <c r="AF241" s="40">
        <f>IF(AQ241="2",BH241,0)</f>
        <v>0</v>
      </c>
      <c r="AG241" s="40">
        <f>IF(AQ241="2",BI241,0)</f>
        <v>0</v>
      </c>
      <c r="AH241" s="40">
        <f>IF(AQ241="0",BJ241,0)</f>
        <v>0</v>
      </c>
      <c r="AI241" s="11" t="s">
        <v>255</v>
      </c>
      <c r="AJ241" s="40">
        <f>IF(AN241=0,L241,0)</f>
        <v>0</v>
      </c>
      <c r="AK241" s="40">
        <f>IF(AN241=15,L241,0)</f>
        <v>0</v>
      </c>
      <c r="AL241" s="40">
        <f>IF(AN241=21,L241,0)</f>
        <v>0</v>
      </c>
      <c r="AN241" s="40">
        <v>21</v>
      </c>
      <c r="AO241" s="40">
        <f>I241*0.480904551320592</f>
        <v>0</v>
      </c>
      <c r="AP241" s="40">
        <f>I241*(1-0.480904551320592)</f>
        <v>0</v>
      </c>
      <c r="AQ241" s="17" t="s">
        <v>1260</v>
      </c>
      <c r="AV241" s="40">
        <f>AW241+AX241</f>
        <v>0</v>
      </c>
      <c r="AW241" s="40">
        <f>H241*AO241</f>
        <v>0</v>
      </c>
      <c r="AX241" s="40">
        <f>H241*AP241</f>
        <v>0</v>
      </c>
      <c r="AY241" s="17" t="s">
        <v>604</v>
      </c>
      <c r="AZ241" s="17" t="s">
        <v>1181</v>
      </c>
      <c r="BA241" s="11" t="s">
        <v>921</v>
      </c>
      <c r="BC241" s="40">
        <f>AW241+AX241</f>
        <v>0</v>
      </c>
      <c r="BD241" s="40">
        <f>I241/(100-BE241)*100</f>
        <v>0</v>
      </c>
      <c r="BE241" s="40">
        <v>0</v>
      </c>
      <c r="BF241" s="40">
        <f>241</f>
        <v>241</v>
      </c>
      <c r="BH241" s="40">
        <f>H241*AO241</f>
        <v>0</v>
      </c>
      <c r="BI241" s="40">
        <f>H241*AP241</f>
        <v>0</v>
      </c>
      <c r="BJ241" s="40">
        <f>H241*I241</f>
        <v>0</v>
      </c>
      <c r="BK241" s="40"/>
      <c r="BL241" s="40">
        <v>45</v>
      </c>
    </row>
    <row r="242" spans="1:64" ht="15" customHeight="1">
      <c r="A242" s="19" t="s">
        <v>948</v>
      </c>
      <c r="B242" s="59" t="s">
        <v>1017</v>
      </c>
      <c r="C242" s="76" t="s">
        <v>1367</v>
      </c>
      <c r="D242" s="76"/>
      <c r="E242" s="76"/>
      <c r="F242" s="76"/>
      <c r="G242" s="59" t="s">
        <v>1220</v>
      </c>
      <c r="H242" s="40">
        <v>3.6</v>
      </c>
      <c r="I242" s="40">
        <v>0</v>
      </c>
      <c r="J242" s="40">
        <f>H242*AO242</f>
        <v>0</v>
      </c>
      <c r="K242" s="40">
        <f>H242*AP242</f>
        <v>0</v>
      </c>
      <c r="L242" s="40">
        <f>H242*I242</f>
        <v>0</v>
      </c>
      <c r="M242" s="69" t="s">
        <v>868</v>
      </c>
      <c r="Z242" s="40">
        <f>IF(AQ242="5",BJ242,0)</f>
        <v>0</v>
      </c>
      <c r="AB242" s="40">
        <f>IF(AQ242="1",BH242,0)</f>
        <v>0</v>
      </c>
      <c r="AC242" s="40">
        <f>IF(AQ242="1",BI242,0)</f>
        <v>0</v>
      </c>
      <c r="AD242" s="40">
        <f>IF(AQ242="7",BH242,0)</f>
        <v>0</v>
      </c>
      <c r="AE242" s="40">
        <f>IF(AQ242="7",BI242,0)</f>
        <v>0</v>
      </c>
      <c r="AF242" s="40">
        <f>IF(AQ242="2",BH242,0)</f>
        <v>0</v>
      </c>
      <c r="AG242" s="40">
        <f>IF(AQ242="2",BI242,0)</f>
        <v>0</v>
      </c>
      <c r="AH242" s="40">
        <f>IF(AQ242="0",BJ242,0)</f>
        <v>0</v>
      </c>
      <c r="AI242" s="11" t="s">
        <v>255</v>
      </c>
      <c r="AJ242" s="40">
        <f>IF(AN242=0,L242,0)</f>
        <v>0</v>
      </c>
      <c r="AK242" s="40">
        <f>IF(AN242=15,L242,0)</f>
        <v>0</v>
      </c>
      <c r="AL242" s="40">
        <f>IF(AN242=21,L242,0)</f>
        <v>0</v>
      </c>
      <c r="AN242" s="40">
        <v>21</v>
      </c>
      <c r="AO242" s="40">
        <f>I242*0.786681350954479</f>
        <v>0</v>
      </c>
      <c r="AP242" s="40">
        <f>I242*(1-0.786681350954479)</f>
        <v>0</v>
      </c>
      <c r="AQ242" s="17" t="s">
        <v>1260</v>
      </c>
      <c r="AV242" s="40">
        <f>AW242+AX242</f>
        <v>0</v>
      </c>
      <c r="AW242" s="40">
        <f>H242*AO242</f>
        <v>0</v>
      </c>
      <c r="AX242" s="40">
        <f>H242*AP242</f>
        <v>0</v>
      </c>
      <c r="AY242" s="17" t="s">
        <v>604</v>
      </c>
      <c r="AZ242" s="17" t="s">
        <v>1181</v>
      </c>
      <c r="BA242" s="11" t="s">
        <v>921</v>
      </c>
      <c r="BC242" s="40">
        <f>AW242+AX242</f>
        <v>0</v>
      </c>
      <c r="BD242" s="40">
        <f>I242/(100-BE242)*100</f>
        <v>0</v>
      </c>
      <c r="BE242" s="40">
        <v>0</v>
      </c>
      <c r="BF242" s="40">
        <f>242</f>
        <v>242</v>
      </c>
      <c r="BH242" s="40">
        <f>H242*AO242</f>
        <v>0</v>
      </c>
      <c r="BI242" s="40">
        <f>H242*AP242</f>
        <v>0</v>
      </c>
      <c r="BJ242" s="40">
        <f>H242*I242</f>
        <v>0</v>
      </c>
      <c r="BK242" s="40"/>
      <c r="BL242" s="40">
        <v>45</v>
      </c>
    </row>
    <row r="243" spans="1:47" ht="15" customHeight="1">
      <c r="A243" s="24" t="s">
        <v>878</v>
      </c>
      <c r="B243" s="66" t="s">
        <v>801</v>
      </c>
      <c r="C243" s="92" t="s">
        <v>1165</v>
      </c>
      <c r="D243" s="92"/>
      <c r="E243" s="92"/>
      <c r="F243" s="92"/>
      <c r="G243" s="3" t="s">
        <v>1172</v>
      </c>
      <c r="H243" s="3" t="s">
        <v>1172</v>
      </c>
      <c r="I243" s="3" t="s">
        <v>1172</v>
      </c>
      <c r="J243" s="63">
        <f>SUM(J244:J246)</f>
        <v>0</v>
      </c>
      <c r="K243" s="63">
        <f>SUM(K244:K246)</f>
        <v>0</v>
      </c>
      <c r="L243" s="63">
        <f>SUM(L244:L246)</f>
        <v>0</v>
      </c>
      <c r="M243" s="4" t="s">
        <v>878</v>
      </c>
      <c r="AI243" s="11" t="s">
        <v>255</v>
      </c>
      <c r="AS243" s="63">
        <f>SUM(AJ244:AJ246)</f>
        <v>0</v>
      </c>
      <c r="AT243" s="63">
        <f>SUM(AK244:AK246)</f>
        <v>0</v>
      </c>
      <c r="AU243" s="63">
        <f>SUM(AL244:AL246)</f>
        <v>0</v>
      </c>
    </row>
    <row r="244" spans="1:64" ht="15" customHeight="1">
      <c r="A244" s="19" t="s">
        <v>1400</v>
      </c>
      <c r="B244" s="59" t="s">
        <v>70</v>
      </c>
      <c r="C244" s="76" t="s">
        <v>1206</v>
      </c>
      <c r="D244" s="76"/>
      <c r="E244" s="76"/>
      <c r="F244" s="76"/>
      <c r="G244" s="59" t="s">
        <v>1243</v>
      </c>
      <c r="H244" s="40">
        <v>50</v>
      </c>
      <c r="I244" s="40">
        <v>0</v>
      </c>
      <c r="J244" s="40">
        <f>H244*AO244</f>
        <v>0</v>
      </c>
      <c r="K244" s="40">
        <f>H244*AP244</f>
        <v>0</v>
      </c>
      <c r="L244" s="40">
        <f>H244*I244</f>
        <v>0</v>
      </c>
      <c r="M244" s="69" t="s">
        <v>868</v>
      </c>
      <c r="Z244" s="40">
        <f>IF(AQ244="5",BJ244,0)</f>
        <v>0</v>
      </c>
      <c r="AB244" s="40">
        <f>IF(AQ244="1",BH244,0)</f>
        <v>0</v>
      </c>
      <c r="AC244" s="40">
        <f>IF(AQ244="1",BI244,0)</f>
        <v>0</v>
      </c>
      <c r="AD244" s="40">
        <f>IF(AQ244="7",BH244,0)</f>
        <v>0</v>
      </c>
      <c r="AE244" s="40">
        <f>IF(AQ244="7",BI244,0)</f>
        <v>0</v>
      </c>
      <c r="AF244" s="40">
        <f>IF(AQ244="2",BH244,0)</f>
        <v>0</v>
      </c>
      <c r="AG244" s="40">
        <f>IF(AQ244="2",BI244,0)</f>
        <v>0</v>
      </c>
      <c r="AH244" s="40">
        <f>IF(AQ244="0",BJ244,0)</f>
        <v>0</v>
      </c>
      <c r="AI244" s="11" t="s">
        <v>255</v>
      </c>
      <c r="AJ244" s="40">
        <f>IF(AN244=0,L244,0)</f>
        <v>0</v>
      </c>
      <c r="AK244" s="40">
        <f>IF(AN244=15,L244,0)</f>
        <v>0</v>
      </c>
      <c r="AL244" s="40">
        <f>IF(AN244=21,L244,0)</f>
        <v>0</v>
      </c>
      <c r="AN244" s="40">
        <v>21</v>
      </c>
      <c r="AO244" s="40">
        <f>I244*0.843538461538462</f>
        <v>0</v>
      </c>
      <c r="AP244" s="40">
        <f>I244*(1-0.843538461538462)</f>
        <v>0</v>
      </c>
      <c r="AQ244" s="17" t="s">
        <v>1260</v>
      </c>
      <c r="AV244" s="40">
        <f>AW244+AX244</f>
        <v>0</v>
      </c>
      <c r="AW244" s="40">
        <f>H244*AO244</f>
        <v>0</v>
      </c>
      <c r="AX244" s="40">
        <f>H244*AP244</f>
        <v>0</v>
      </c>
      <c r="AY244" s="17" t="s">
        <v>1312</v>
      </c>
      <c r="AZ244" s="17" t="s">
        <v>1025</v>
      </c>
      <c r="BA244" s="11" t="s">
        <v>921</v>
      </c>
      <c r="BC244" s="40">
        <f>AW244+AX244</f>
        <v>0</v>
      </c>
      <c r="BD244" s="40">
        <f>I244/(100-BE244)*100</f>
        <v>0</v>
      </c>
      <c r="BE244" s="40">
        <v>0</v>
      </c>
      <c r="BF244" s="40">
        <f>244</f>
        <v>244</v>
      </c>
      <c r="BH244" s="40">
        <f>H244*AO244</f>
        <v>0</v>
      </c>
      <c r="BI244" s="40">
        <f>H244*AP244</f>
        <v>0</v>
      </c>
      <c r="BJ244" s="40">
        <f>H244*I244</f>
        <v>0</v>
      </c>
      <c r="BK244" s="40"/>
      <c r="BL244" s="40">
        <v>56</v>
      </c>
    </row>
    <row r="245" spans="1:64" ht="15" customHeight="1">
      <c r="A245" s="19" t="s">
        <v>357</v>
      </c>
      <c r="B245" s="59" t="s">
        <v>608</v>
      </c>
      <c r="C245" s="76" t="s">
        <v>1206</v>
      </c>
      <c r="D245" s="76"/>
      <c r="E245" s="76"/>
      <c r="F245" s="76"/>
      <c r="G245" s="59" t="s">
        <v>1243</v>
      </c>
      <c r="H245" s="40">
        <v>50</v>
      </c>
      <c r="I245" s="40">
        <v>0</v>
      </c>
      <c r="J245" s="40">
        <f>H245*AO245</f>
        <v>0</v>
      </c>
      <c r="K245" s="40">
        <f>H245*AP245</f>
        <v>0</v>
      </c>
      <c r="L245" s="40">
        <f>H245*I245</f>
        <v>0</v>
      </c>
      <c r="M245" s="69" t="s">
        <v>868</v>
      </c>
      <c r="Z245" s="40">
        <f>IF(AQ245="5",BJ245,0)</f>
        <v>0</v>
      </c>
      <c r="AB245" s="40">
        <f>IF(AQ245="1",BH245,0)</f>
        <v>0</v>
      </c>
      <c r="AC245" s="40">
        <f>IF(AQ245="1",BI245,0)</f>
        <v>0</v>
      </c>
      <c r="AD245" s="40">
        <f>IF(AQ245="7",BH245,0)</f>
        <v>0</v>
      </c>
      <c r="AE245" s="40">
        <f>IF(AQ245="7",BI245,0)</f>
        <v>0</v>
      </c>
      <c r="AF245" s="40">
        <f>IF(AQ245="2",BH245,0)</f>
        <v>0</v>
      </c>
      <c r="AG245" s="40">
        <f>IF(AQ245="2",BI245,0)</f>
        <v>0</v>
      </c>
      <c r="AH245" s="40">
        <f>IF(AQ245="0",BJ245,0)</f>
        <v>0</v>
      </c>
      <c r="AI245" s="11" t="s">
        <v>255</v>
      </c>
      <c r="AJ245" s="40">
        <f>IF(AN245=0,L245,0)</f>
        <v>0</v>
      </c>
      <c r="AK245" s="40">
        <f>IF(AN245=15,L245,0)</f>
        <v>0</v>
      </c>
      <c r="AL245" s="40">
        <f>IF(AN245=21,L245,0)</f>
        <v>0</v>
      </c>
      <c r="AN245" s="40">
        <v>21</v>
      </c>
      <c r="AO245" s="40">
        <f>I245*0.832821917808219</f>
        <v>0</v>
      </c>
      <c r="AP245" s="40">
        <f>I245*(1-0.832821917808219)</f>
        <v>0</v>
      </c>
      <c r="AQ245" s="17" t="s">
        <v>1260</v>
      </c>
      <c r="AV245" s="40">
        <f>AW245+AX245</f>
        <v>0</v>
      </c>
      <c r="AW245" s="40">
        <f>H245*AO245</f>
        <v>0</v>
      </c>
      <c r="AX245" s="40">
        <f>H245*AP245</f>
        <v>0</v>
      </c>
      <c r="AY245" s="17" t="s">
        <v>1312</v>
      </c>
      <c r="AZ245" s="17" t="s">
        <v>1025</v>
      </c>
      <c r="BA245" s="11" t="s">
        <v>921</v>
      </c>
      <c r="BC245" s="40">
        <f>AW245+AX245</f>
        <v>0</v>
      </c>
      <c r="BD245" s="40">
        <f>I245/(100-BE245)*100</f>
        <v>0</v>
      </c>
      <c r="BE245" s="40">
        <v>0</v>
      </c>
      <c r="BF245" s="40">
        <f>245</f>
        <v>245</v>
      </c>
      <c r="BH245" s="40">
        <f>H245*AO245</f>
        <v>0</v>
      </c>
      <c r="BI245" s="40">
        <f>H245*AP245</f>
        <v>0</v>
      </c>
      <c r="BJ245" s="40">
        <f>H245*I245</f>
        <v>0</v>
      </c>
      <c r="BK245" s="40"/>
      <c r="BL245" s="40">
        <v>56</v>
      </c>
    </row>
    <row r="246" spans="1:64" ht="15" customHeight="1">
      <c r="A246" s="19" t="s">
        <v>90</v>
      </c>
      <c r="B246" s="59" t="s">
        <v>914</v>
      </c>
      <c r="C246" s="76" t="s">
        <v>497</v>
      </c>
      <c r="D246" s="76"/>
      <c r="E246" s="76"/>
      <c r="F246" s="76"/>
      <c r="G246" s="59" t="s">
        <v>1243</v>
      </c>
      <c r="H246" s="40">
        <v>50</v>
      </c>
      <c r="I246" s="40">
        <v>0</v>
      </c>
      <c r="J246" s="40">
        <f>H246*AO246</f>
        <v>0</v>
      </c>
      <c r="K246" s="40">
        <f>H246*AP246</f>
        <v>0</v>
      </c>
      <c r="L246" s="40">
        <f>H246*I246</f>
        <v>0</v>
      </c>
      <c r="M246" s="69" t="s">
        <v>868</v>
      </c>
      <c r="Z246" s="40">
        <f>IF(AQ246="5",BJ246,0)</f>
        <v>0</v>
      </c>
      <c r="AB246" s="40">
        <f>IF(AQ246="1",BH246,0)</f>
        <v>0</v>
      </c>
      <c r="AC246" s="40">
        <f>IF(AQ246="1",BI246,0)</f>
        <v>0</v>
      </c>
      <c r="AD246" s="40">
        <f>IF(AQ246="7",BH246,0)</f>
        <v>0</v>
      </c>
      <c r="AE246" s="40">
        <f>IF(AQ246="7",BI246,0)</f>
        <v>0</v>
      </c>
      <c r="AF246" s="40">
        <f>IF(AQ246="2",BH246,0)</f>
        <v>0</v>
      </c>
      <c r="AG246" s="40">
        <f>IF(AQ246="2",BI246,0)</f>
        <v>0</v>
      </c>
      <c r="AH246" s="40">
        <f>IF(AQ246="0",BJ246,0)</f>
        <v>0</v>
      </c>
      <c r="AI246" s="11" t="s">
        <v>255</v>
      </c>
      <c r="AJ246" s="40">
        <f>IF(AN246=0,L246,0)</f>
        <v>0</v>
      </c>
      <c r="AK246" s="40">
        <f>IF(AN246=15,L246,0)</f>
        <v>0</v>
      </c>
      <c r="AL246" s="40">
        <f>IF(AN246=21,L246,0)</f>
        <v>0</v>
      </c>
      <c r="AN246" s="40">
        <v>21</v>
      </c>
      <c r="AO246" s="40">
        <f>I246*0.878931315521925</f>
        <v>0</v>
      </c>
      <c r="AP246" s="40">
        <f>I246*(1-0.878931315521925)</f>
        <v>0</v>
      </c>
      <c r="AQ246" s="17" t="s">
        <v>1260</v>
      </c>
      <c r="AV246" s="40">
        <f>AW246+AX246</f>
        <v>0</v>
      </c>
      <c r="AW246" s="40">
        <f>H246*AO246</f>
        <v>0</v>
      </c>
      <c r="AX246" s="40">
        <f>H246*AP246</f>
        <v>0</v>
      </c>
      <c r="AY246" s="17" t="s">
        <v>1312</v>
      </c>
      <c r="AZ246" s="17" t="s">
        <v>1025</v>
      </c>
      <c r="BA246" s="11" t="s">
        <v>921</v>
      </c>
      <c r="BC246" s="40">
        <f>AW246+AX246</f>
        <v>0</v>
      </c>
      <c r="BD246" s="40">
        <f>I246/(100-BE246)*100</f>
        <v>0</v>
      </c>
      <c r="BE246" s="40">
        <v>0</v>
      </c>
      <c r="BF246" s="40">
        <f>246</f>
        <v>246</v>
      </c>
      <c r="BH246" s="40">
        <f>H246*AO246</f>
        <v>0</v>
      </c>
      <c r="BI246" s="40">
        <f>H246*AP246</f>
        <v>0</v>
      </c>
      <c r="BJ246" s="40">
        <f>H246*I246</f>
        <v>0</v>
      </c>
      <c r="BK246" s="40"/>
      <c r="BL246" s="40">
        <v>56</v>
      </c>
    </row>
    <row r="247" spans="1:47" ht="15" customHeight="1">
      <c r="A247" s="24" t="s">
        <v>878</v>
      </c>
      <c r="B247" s="66" t="s">
        <v>1203</v>
      </c>
      <c r="C247" s="92" t="s">
        <v>846</v>
      </c>
      <c r="D247" s="92"/>
      <c r="E247" s="92"/>
      <c r="F247" s="92"/>
      <c r="G247" s="3" t="s">
        <v>1172</v>
      </c>
      <c r="H247" s="3" t="s">
        <v>1172</v>
      </c>
      <c r="I247" s="3" t="s">
        <v>1172</v>
      </c>
      <c r="J247" s="63">
        <f>SUM(J248:J251)</f>
        <v>0</v>
      </c>
      <c r="K247" s="63">
        <f>SUM(K248:K251)</f>
        <v>0</v>
      </c>
      <c r="L247" s="63">
        <f>SUM(L248:L251)</f>
        <v>0</v>
      </c>
      <c r="M247" s="4" t="s">
        <v>878</v>
      </c>
      <c r="AI247" s="11" t="s">
        <v>255</v>
      </c>
      <c r="AS247" s="63">
        <f>SUM(AJ248:AJ251)</f>
        <v>0</v>
      </c>
      <c r="AT247" s="63">
        <f>SUM(AK248:AK251)</f>
        <v>0</v>
      </c>
      <c r="AU247" s="63">
        <f>SUM(AL248:AL251)</f>
        <v>0</v>
      </c>
    </row>
    <row r="248" spans="1:64" ht="15" customHeight="1">
      <c r="A248" s="19" t="s">
        <v>199</v>
      </c>
      <c r="B248" s="59" t="s">
        <v>795</v>
      </c>
      <c r="C248" s="76" t="s">
        <v>371</v>
      </c>
      <c r="D248" s="76"/>
      <c r="E248" s="76"/>
      <c r="F248" s="76"/>
      <c r="G248" s="59" t="s">
        <v>1243</v>
      </c>
      <c r="H248" s="40">
        <v>69</v>
      </c>
      <c r="I248" s="40">
        <v>0</v>
      </c>
      <c r="J248" s="40">
        <f>H248*AO248</f>
        <v>0</v>
      </c>
      <c r="K248" s="40">
        <f>H248*AP248</f>
        <v>0</v>
      </c>
      <c r="L248" s="40">
        <f>H248*I248</f>
        <v>0</v>
      </c>
      <c r="M248" s="69" t="s">
        <v>868</v>
      </c>
      <c r="Z248" s="40">
        <f>IF(AQ248="5",BJ248,0)</f>
        <v>0</v>
      </c>
      <c r="AB248" s="40">
        <f>IF(AQ248="1",BH248,0)</f>
        <v>0</v>
      </c>
      <c r="AC248" s="40">
        <f>IF(AQ248="1",BI248,0)</f>
        <v>0</v>
      </c>
      <c r="AD248" s="40">
        <f>IF(AQ248="7",BH248,0)</f>
        <v>0</v>
      </c>
      <c r="AE248" s="40">
        <f>IF(AQ248="7",BI248,0)</f>
        <v>0</v>
      </c>
      <c r="AF248" s="40">
        <f>IF(AQ248="2",BH248,0)</f>
        <v>0</v>
      </c>
      <c r="AG248" s="40">
        <f>IF(AQ248="2",BI248,0)</f>
        <v>0</v>
      </c>
      <c r="AH248" s="40">
        <f>IF(AQ248="0",BJ248,0)</f>
        <v>0</v>
      </c>
      <c r="AI248" s="11" t="s">
        <v>255</v>
      </c>
      <c r="AJ248" s="40">
        <f>IF(AN248=0,L248,0)</f>
        <v>0</v>
      </c>
      <c r="AK248" s="40">
        <f>IF(AN248=15,L248,0)</f>
        <v>0</v>
      </c>
      <c r="AL248" s="40">
        <f>IF(AN248=21,L248,0)</f>
        <v>0</v>
      </c>
      <c r="AN248" s="40">
        <v>21</v>
      </c>
      <c r="AO248" s="40">
        <f>I248*0.90011013215859</f>
        <v>0</v>
      </c>
      <c r="AP248" s="40">
        <f>I248*(1-0.90011013215859)</f>
        <v>0</v>
      </c>
      <c r="AQ248" s="17" t="s">
        <v>1260</v>
      </c>
      <c r="AV248" s="40">
        <f>AW248+AX248</f>
        <v>0</v>
      </c>
      <c r="AW248" s="40">
        <f>H248*AO248</f>
        <v>0</v>
      </c>
      <c r="AX248" s="40">
        <f>H248*AP248</f>
        <v>0</v>
      </c>
      <c r="AY248" s="17" t="s">
        <v>492</v>
      </c>
      <c r="AZ248" s="17" t="s">
        <v>1025</v>
      </c>
      <c r="BA248" s="11" t="s">
        <v>921</v>
      </c>
      <c r="BC248" s="40">
        <f>AW248+AX248</f>
        <v>0</v>
      </c>
      <c r="BD248" s="40">
        <f>I248/(100-BE248)*100</f>
        <v>0</v>
      </c>
      <c r="BE248" s="40">
        <v>0</v>
      </c>
      <c r="BF248" s="40">
        <f>248</f>
        <v>248</v>
      </c>
      <c r="BH248" s="40">
        <f>H248*AO248</f>
        <v>0</v>
      </c>
      <c r="BI248" s="40">
        <f>H248*AP248</f>
        <v>0</v>
      </c>
      <c r="BJ248" s="40">
        <f>H248*I248</f>
        <v>0</v>
      </c>
      <c r="BK248" s="40"/>
      <c r="BL248" s="40">
        <v>57</v>
      </c>
    </row>
    <row r="249" spans="1:64" ht="15" customHeight="1">
      <c r="A249" s="19" t="s">
        <v>1158</v>
      </c>
      <c r="B249" s="59" t="s">
        <v>684</v>
      </c>
      <c r="C249" s="76" t="s">
        <v>462</v>
      </c>
      <c r="D249" s="76"/>
      <c r="E249" s="76"/>
      <c r="F249" s="76"/>
      <c r="G249" s="59" t="s">
        <v>1243</v>
      </c>
      <c r="H249" s="40">
        <v>276</v>
      </c>
      <c r="I249" s="40">
        <v>0</v>
      </c>
      <c r="J249" s="40">
        <f>H249*AO249</f>
        <v>0</v>
      </c>
      <c r="K249" s="40">
        <f>H249*AP249</f>
        <v>0</v>
      </c>
      <c r="L249" s="40">
        <f>H249*I249</f>
        <v>0</v>
      </c>
      <c r="M249" s="69" t="s">
        <v>868</v>
      </c>
      <c r="Z249" s="40">
        <f>IF(AQ249="5",BJ249,0)</f>
        <v>0</v>
      </c>
      <c r="AB249" s="40">
        <f>IF(AQ249="1",BH249,0)</f>
        <v>0</v>
      </c>
      <c r="AC249" s="40">
        <f>IF(AQ249="1",BI249,0)</f>
        <v>0</v>
      </c>
      <c r="AD249" s="40">
        <f>IF(AQ249="7",BH249,0)</f>
        <v>0</v>
      </c>
      <c r="AE249" s="40">
        <f>IF(AQ249="7",BI249,0)</f>
        <v>0</v>
      </c>
      <c r="AF249" s="40">
        <f>IF(AQ249="2",BH249,0)</f>
        <v>0</v>
      </c>
      <c r="AG249" s="40">
        <f>IF(AQ249="2",BI249,0)</f>
        <v>0</v>
      </c>
      <c r="AH249" s="40">
        <f>IF(AQ249="0",BJ249,0)</f>
        <v>0</v>
      </c>
      <c r="AI249" s="11" t="s">
        <v>255</v>
      </c>
      <c r="AJ249" s="40">
        <f>IF(AN249=0,L249,0)</f>
        <v>0</v>
      </c>
      <c r="AK249" s="40">
        <f>IF(AN249=15,L249,0)</f>
        <v>0</v>
      </c>
      <c r="AL249" s="40">
        <f>IF(AN249=21,L249,0)</f>
        <v>0</v>
      </c>
      <c r="AN249" s="40">
        <v>21</v>
      </c>
      <c r="AO249" s="40">
        <f>I249*0.854736842105263</f>
        <v>0</v>
      </c>
      <c r="AP249" s="40">
        <f>I249*(1-0.854736842105263)</f>
        <v>0</v>
      </c>
      <c r="AQ249" s="17" t="s">
        <v>1260</v>
      </c>
      <c r="AV249" s="40">
        <f>AW249+AX249</f>
        <v>0</v>
      </c>
      <c r="AW249" s="40">
        <f>H249*AO249</f>
        <v>0</v>
      </c>
      <c r="AX249" s="40">
        <f>H249*AP249</f>
        <v>0</v>
      </c>
      <c r="AY249" s="17" t="s">
        <v>492</v>
      </c>
      <c r="AZ249" s="17" t="s">
        <v>1025</v>
      </c>
      <c r="BA249" s="11" t="s">
        <v>921</v>
      </c>
      <c r="BC249" s="40">
        <f>AW249+AX249</f>
        <v>0</v>
      </c>
      <c r="BD249" s="40">
        <f>I249/(100-BE249)*100</f>
        <v>0</v>
      </c>
      <c r="BE249" s="40">
        <v>0</v>
      </c>
      <c r="BF249" s="40">
        <f>249</f>
        <v>249</v>
      </c>
      <c r="BH249" s="40">
        <f>H249*AO249</f>
        <v>0</v>
      </c>
      <c r="BI249" s="40">
        <f>H249*AP249</f>
        <v>0</v>
      </c>
      <c r="BJ249" s="40">
        <f>H249*I249</f>
        <v>0</v>
      </c>
      <c r="BK249" s="40"/>
      <c r="BL249" s="40">
        <v>57</v>
      </c>
    </row>
    <row r="250" spans="1:64" ht="15" customHeight="1">
      <c r="A250" s="19" t="s">
        <v>774</v>
      </c>
      <c r="B250" s="59" t="s">
        <v>1053</v>
      </c>
      <c r="C250" s="76" t="s">
        <v>1255</v>
      </c>
      <c r="D250" s="76"/>
      <c r="E250" s="76"/>
      <c r="F250" s="76"/>
      <c r="G250" s="59" t="s">
        <v>1243</v>
      </c>
      <c r="H250" s="40">
        <v>50</v>
      </c>
      <c r="I250" s="40">
        <v>0</v>
      </c>
      <c r="J250" s="40">
        <f>H250*AO250</f>
        <v>0</v>
      </c>
      <c r="K250" s="40">
        <f>H250*AP250</f>
        <v>0</v>
      </c>
      <c r="L250" s="40">
        <f>H250*I250</f>
        <v>0</v>
      </c>
      <c r="M250" s="69" t="s">
        <v>868</v>
      </c>
      <c r="Z250" s="40">
        <f>IF(AQ250="5",BJ250,0)</f>
        <v>0</v>
      </c>
      <c r="AB250" s="40">
        <f>IF(AQ250="1",BH250,0)</f>
        <v>0</v>
      </c>
      <c r="AC250" s="40">
        <f>IF(AQ250="1",BI250,0)</f>
        <v>0</v>
      </c>
      <c r="AD250" s="40">
        <f>IF(AQ250="7",BH250,0)</f>
        <v>0</v>
      </c>
      <c r="AE250" s="40">
        <f>IF(AQ250="7",BI250,0)</f>
        <v>0</v>
      </c>
      <c r="AF250" s="40">
        <f>IF(AQ250="2",BH250,0)</f>
        <v>0</v>
      </c>
      <c r="AG250" s="40">
        <f>IF(AQ250="2",BI250,0)</f>
        <v>0</v>
      </c>
      <c r="AH250" s="40">
        <f>IF(AQ250="0",BJ250,0)</f>
        <v>0</v>
      </c>
      <c r="AI250" s="11" t="s">
        <v>255</v>
      </c>
      <c r="AJ250" s="40">
        <f>IF(AN250=0,L250,0)</f>
        <v>0</v>
      </c>
      <c r="AK250" s="40">
        <f>IF(AN250=15,L250,0)</f>
        <v>0</v>
      </c>
      <c r="AL250" s="40">
        <f>IF(AN250=21,L250,0)</f>
        <v>0</v>
      </c>
      <c r="AN250" s="40">
        <v>21</v>
      </c>
      <c r="AO250" s="40">
        <f>I250*0.964530180460485</f>
        <v>0</v>
      </c>
      <c r="AP250" s="40">
        <f>I250*(1-0.964530180460485)</f>
        <v>0</v>
      </c>
      <c r="AQ250" s="17" t="s">
        <v>1260</v>
      </c>
      <c r="AV250" s="40">
        <f>AW250+AX250</f>
        <v>0</v>
      </c>
      <c r="AW250" s="40">
        <f>H250*AO250</f>
        <v>0</v>
      </c>
      <c r="AX250" s="40">
        <f>H250*AP250</f>
        <v>0</v>
      </c>
      <c r="AY250" s="17" t="s">
        <v>492</v>
      </c>
      <c r="AZ250" s="17" t="s">
        <v>1025</v>
      </c>
      <c r="BA250" s="11" t="s">
        <v>921</v>
      </c>
      <c r="BC250" s="40">
        <f>AW250+AX250</f>
        <v>0</v>
      </c>
      <c r="BD250" s="40">
        <f>I250/(100-BE250)*100</f>
        <v>0</v>
      </c>
      <c r="BE250" s="40">
        <v>0</v>
      </c>
      <c r="BF250" s="40">
        <f>250</f>
        <v>250</v>
      </c>
      <c r="BH250" s="40">
        <f>H250*AO250</f>
        <v>0</v>
      </c>
      <c r="BI250" s="40">
        <f>H250*AP250</f>
        <v>0</v>
      </c>
      <c r="BJ250" s="40">
        <f>H250*I250</f>
        <v>0</v>
      </c>
      <c r="BK250" s="40"/>
      <c r="BL250" s="40">
        <v>57</v>
      </c>
    </row>
    <row r="251" spans="1:64" ht="15" customHeight="1">
      <c r="A251" s="19" t="s">
        <v>355</v>
      </c>
      <c r="B251" s="59" t="s">
        <v>405</v>
      </c>
      <c r="C251" s="76" t="s">
        <v>1113</v>
      </c>
      <c r="D251" s="76"/>
      <c r="E251" s="76"/>
      <c r="F251" s="76"/>
      <c r="G251" s="59" t="s">
        <v>1243</v>
      </c>
      <c r="H251" s="40">
        <v>69</v>
      </c>
      <c r="I251" s="40">
        <v>0</v>
      </c>
      <c r="J251" s="40">
        <f>H251*AO251</f>
        <v>0</v>
      </c>
      <c r="K251" s="40">
        <f>H251*AP251</f>
        <v>0</v>
      </c>
      <c r="L251" s="40">
        <f>H251*I251</f>
        <v>0</v>
      </c>
      <c r="M251" s="69" t="s">
        <v>868</v>
      </c>
      <c r="Z251" s="40">
        <f>IF(AQ251="5",BJ251,0)</f>
        <v>0</v>
      </c>
      <c r="AB251" s="40">
        <f>IF(AQ251="1",BH251,0)</f>
        <v>0</v>
      </c>
      <c r="AC251" s="40">
        <f>IF(AQ251="1",BI251,0)</f>
        <v>0</v>
      </c>
      <c r="AD251" s="40">
        <f>IF(AQ251="7",BH251,0)</f>
        <v>0</v>
      </c>
      <c r="AE251" s="40">
        <f>IF(AQ251="7",BI251,0)</f>
        <v>0</v>
      </c>
      <c r="AF251" s="40">
        <f>IF(AQ251="2",BH251,0)</f>
        <v>0</v>
      </c>
      <c r="AG251" s="40">
        <f>IF(AQ251="2",BI251,0)</f>
        <v>0</v>
      </c>
      <c r="AH251" s="40">
        <f>IF(AQ251="0",BJ251,0)</f>
        <v>0</v>
      </c>
      <c r="AI251" s="11" t="s">
        <v>255</v>
      </c>
      <c r="AJ251" s="40">
        <f>IF(AN251=0,L251,0)</f>
        <v>0</v>
      </c>
      <c r="AK251" s="40">
        <f>IF(AN251=15,L251,0)</f>
        <v>0</v>
      </c>
      <c r="AL251" s="40">
        <f>IF(AN251=21,L251,0)</f>
        <v>0</v>
      </c>
      <c r="AN251" s="40">
        <v>21</v>
      </c>
      <c r="AO251" s="40">
        <f>I251*0.904897196261682</f>
        <v>0</v>
      </c>
      <c r="AP251" s="40">
        <f>I251*(1-0.904897196261682)</f>
        <v>0</v>
      </c>
      <c r="AQ251" s="17" t="s">
        <v>1260</v>
      </c>
      <c r="AV251" s="40">
        <f>AW251+AX251</f>
        <v>0</v>
      </c>
      <c r="AW251" s="40">
        <f>H251*AO251</f>
        <v>0</v>
      </c>
      <c r="AX251" s="40">
        <f>H251*AP251</f>
        <v>0</v>
      </c>
      <c r="AY251" s="17" t="s">
        <v>492</v>
      </c>
      <c r="AZ251" s="17" t="s">
        <v>1025</v>
      </c>
      <c r="BA251" s="11" t="s">
        <v>921</v>
      </c>
      <c r="BC251" s="40">
        <f>AW251+AX251</f>
        <v>0</v>
      </c>
      <c r="BD251" s="40">
        <f>I251/(100-BE251)*100</f>
        <v>0</v>
      </c>
      <c r="BE251" s="40">
        <v>0</v>
      </c>
      <c r="BF251" s="40">
        <f>251</f>
        <v>251</v>
      </c>
      <c r="BH251" s="40">
        <f>H251*AO251</f>
        <v>0</v>
      </c>
      <c r="BI251" s="40">
        <f>H251*AP251</f>
        <v>0</v>
      </c>
      <c r="BJ251" s="40">
        <f>H251*I251</f>
        <v>0</v>
      </c>
      <c r="BK251" s="40"/>
      <c r="BL251" s="40">
        <v>57</v>
      </c>
    </row>
    <row r="252" spans="1:47" ht="15" customHeight="1">
      <c r="A252" s="24" t="s">
        <v>878</v>
      </c>
      <c r="B252" s="66" t="s">
        <v>63</v>
      </c>
      <c r="C252" s="92" t="s">
        <v>100</v>
      </c>
      <c r="D252" s="92"/>
      <c r="E252" s="92"/>
      <c r="F252" s="92"/>
      <c r="G252" s="3" t="s">
        <v>1172</v>
      </c>
      <c r="H252" s="3" t="s">
        <v>1172</v>
      </c>
      <c r="I252" s="3" t="s">
        <v>1172</v>
      </c>
      <c r="J252" s="63">
        <f>SUM(J253:J272)</f>
        <v>0</v>
      </c>
      <c r="K252" s="63">
        <f>SUM(K253:K272)</f>
        <v>0</v>
      </c>
      <c r="L252" s="63">
        <f>SUM(L253:L272)</f>
        <v>0</v>
      </c>
      <c r="M252" s="4" t="s">
        <v>878</v>
      </c>
      <c r="AI252" s="11" t="s">
        <v>255</v>
      </c>
      <c r="AS252" s="63">
        <f>SUM(AJ253:AJ272)</f>
        <v>0</v>
      </c>
      <c r="AT252" s="63">
        <f>SUM(AK253:AK272)</f>
        <v>0</v>
      </c>
      <c r="AU252" s="63">
        <f>SUM(AL253:AL272)</f>
        <v>0</v>
      </c>
    </row>
    <row r="253" spans="1:64" ht="15" customHeight="1">
      <c r="A253" s="19" t="s">
        <v>1029</v>
      </c>
      <c r="B253" s="59" t="s">
        <v>1414</v>
      </c>
      <c r="C253" s="76" t="s">
        <v>842</v>
      </c>
      <c r="D253" s="76"/>
      <c r="E253" s="76"/>
      <c r="F253" s="76"/>
      <c r="G253" s="59" t="s">
        <v>1041</v>
      </c>
      <c r="H253" s="40">
        <v>193.5</v>
      </c>
      <c r="I253" s="40">
        <v>0</v>
      </c>
      <c r="J253" s="40">
        <f aca="true" t="shared" si="138" ref="J253:J272">H253*AO253</f>
        <v>0</v>
      </c>
      <c r="K253" s="40">
        <f aca="true" t="shared" si="139" ref="K253:K272">H253*AP253</f>
        <v>0</v>
      </c>
      <c r="L253" s="40">
        <f aca="true" t="shared" si="140" ref="L253:L272">H253*I253</f>
        <v>0</v>
      </c>
      <c r="M253" s="69" t="s">
        <v>868</v>
      </c>
      <c r="Z253" s="40">
        <f aca="true" t="shared" si="141" ref="Z253:Z272">IF(AQ253="5",BJ253,0)</f>
        <v>0</v>
      </c>
      <c r="AB253" s="40">
        <f aca="true" t="shared" si="142" ref="AB253:AB272">IF(AQ253="1",BH253,0)</f>
        <v>0</v>
      </c>
      <c r="AC253" s="40">
        <f aca="true" t="shared" si="143" ref="AC253:AC272">IF(AQ253="1",BI253,0)</f>
        <v>0</v>
      </c>
      <c r="AD253" s="40">
        <f aca="true" t="shared" si="144" ref="AD253:AD272">IF(AQ253="7",BH253,0)</f>
        <v>0</v>
      </c>
      <c r="AE253" s="40">
        <f aca="true" t="shared" si="145" ref="AE253:AE272">IF(AQ253="7",BI253,0)</f>
        <v>0</v>
      </c>
      <c r="AF253" s="40">
        <f aca="true" t="shared" si="146" ref="AF253:AF272">IF(AQ253="2",BH253,0)</f>
        <v>0</v>
      </c>
      <c r="AG253" s="40">
        <f aca="true" t="shared" si="147" ref="AG253:AG272">IF(AQ253="2",BI253,0)</f>
        <v>0</v>
      </c>
      <c r="AH253" s="40">
        <f aca="true" t="shared" si="148" ref="AH253:AH272">IF(AQ253="0",BJ253,0)</f>
        <v>0</v>
      </c>
      <c r="AI253" s="11" t="s">
        <v>255</v>
      </c>
      <c r="AJ253" s="40">
        <f aca="true" t="shared" si="149" ref="AJ253:AJ272">IF(AN253=0,L253,0)</f>
        <v>0</v>
      </c>
      <c r="AK253" s="40">
        <f aca="true" t="shared" si="150" ref="AK253:AK272">IF(AN253=15,L253,0)</f>
        <v>0</v>
      </c>
      <c r="AL253" s="40">
        <f aca="true" t="shared" si="151" ref="AL253:AL272">IF(AN253=21,L253,0)</f>
        <v>0</v>
      </c>
      <c r="AN253" s="40">
        <v>21</v>
      </c>
      <c r="AO253" s="40">
        <f>I253*0.00523255813953488</f>
        <v>0</v>
      </c>
      <c r="AP253" s="40">
        <f>I253*(1-0.00523255813953488)</f>
        <v>0</v>
      </c>
      <c r="AQ253" s="17" t="s">
        <v>1260</v>
      </c>
      <c r="AV253" s="40">
        <f aca="true" t="shared" si="152" ref="AV253:AV272">AW253+AX253</f>
        <v>0</v>
      </c>
      <c r="AW253" s="40">
        <f aca="true" t="shared" si="153" ref="AW253:AW272">H253*AO253</f>
        <v>0</v>
      </c>
      <c r="AX253" s="40">
        <f aca="true" t="shared" si="154" ref="AX253:AX272">H253*AP253</f>
        <v>0</v>
      </c>
      <c r="AY253" s="17" t="s">
        <v>88</v>
      </c>
      <c r="AZ253" s="17" t="s">
        <v>881</v>
      </c>
      <c r="BA253" s="11" t="s">
        <v>921</v>
      </c>
      <c r="BC253" s="40">
        <f aca="true" t="shared" si="155" ref="BC253:BC272">AW253+AX253</f>
        <v>0</v>
      </c>
      <c r="BD253" s="40">
        <f aca="true" t="shared" si="156" ref="BD253:BD272">I253/(100-BE253)*100</f>
        <v>0</v>
      </c>
      <c r="BE253" s="40">
        <v>0</v>
      </c>
      <c r="BF253" s="40">
        <f>253</f>
        <v>253</v>
      </c>
      <c r="BH253" s="40">
        <f aca="true" t="shared" si="157" ref="BH253:BH272">H253*AO253</f>
        <v>0</v>
      </c>
      <c r="BI253" s="40">
        <f aca="true" t="shared" si="158" ref="BI253:BI272">H253*AP253</f>
        <v>0</v>
      </c>
      <c r="BJ253" s="40">
        <f aca="true" t="shared" si="159" ref="BJ253:BJ272">H253*I253</f>
        <v>0</v>
      </c>
      <c r="BK253" s="40"/>
      <c r="BL253" s="40">
        <v>87</v>
      </c>
    </row>
    <row r="254" spans="1:64" ht="15" customHeight="1">
      <c r="A254" s="19" t="s">
        <v>1307</v>
      </c>
      <c r="B254" s="59" t="s">
        <v>912</v>
      </c>
      <c r="C254" s="76" t="s">
        <v>968</v>
      </c>
      <c r="D254" s="76"/>
      <c r="E254" s="76"/>
      <c r="F254" s="76"/>
      <c r="G254" s="59" t="s">
        <v>312</v>
      </c>
      <c r="H254" s="40">
        <v>32</v>
      </c>
      <c r="I254" s="40">
        <v>0</v>
      </c>
      <c r="J254" s="40">
        <f t="shared" si="138"/>
        <v>0</v>
      </c>
      <c r="K254" s="40">
        <f t="shared" si="139"/>
        <v>0</v>
      </c>
      <c r="L254" s="40">
        <f t="shared" si="140"/>
        <v>0</v>
      </c>
      <c r="M254" s="69" t="s">
        <v>868</v>
      </c>
      <c r="Z254" s="40">
        <f t="shared" si="141"/>
        <v>0</v>
      </c>
      <c r="AB254" s="40">
        <f t="shared" si="142"/>
        <v>0</v>
      </c>
      <c r="AC254" s="40">
        <f t="shared" si="143"/>
        <v>0</v>
      </c>
      <c r="AD254" s="40">
        <f t="shared" si="144"/>
        <v>0</v>
      </c>
      <c r="AE254" s="40">
        <f t="shared" si="145"/>
        <v>0</v>
      </c>
      <c r="AF254" s="40">
        <f t="shared" si="146"/>
        <v>0</v>
      </c>
      <c r="AG254" s="40">
        <f t="shared" si="147"/>
        <v>0</v>
      </c>
      <c r="AH254" s="40">
        <f t="shared" si="148"/>
        <v>0</v>
      </c>
      <c r="AI254" s="11" t="s">
        <v>255</v>
      </c>
      <c r="AJ254" s="40">
        <f t="shared" si="149"/>
        <v>0</v>
      </c>
      <c r="AK254" s="40">
        <f t="shared" si="150"/>
        <v>0</v>
      </c>
      <c r="AL254" s="40">
        <f t="shared" si="151"/>
        <v>0</v>
      </c>
      <c r="AN254" s="40">
        <v>21</v>
      </c>
      <c r="AO254" s="40">
        <f>I254*1</f>
        <v>0</v>
      </c>
      <c r="AP254" s="40">
        <f>I254*(1-1)</f>
        <v>0</v>
      </c>
      <c r="AQ254" s="17" t="s">
        <v>1260</v>
      </c>
      <c r="AV254" s="40">
        <f t="shared" si="152"/>
        <v>0</v>
      </c>
      <c r="AW254" s="40">
        <f t="shared" si="153"/>
        <v>0</v>
      </c>
      <c r="AX254" s="40">
        <f t="shared" si="154"/>
        <v>0</v>
      </c>
      <c r="AY254" s="17" t="s">
        <v>88</v>
      </c>
      <c r="AZ254" s="17" t="s">
        <v>881</v>
      </c>
      <c r="BA254" s="11" t="s">
        <v>921</v>
      </c>
      <c r="BC254" s="40">
        <f t="shared" si="155"/>
        <v>0</v>
      </c>
      <c r="BD254" s="40">
        <f t="shared" si="156"/>
        <v>0</v>
      </c>
      <c r="BE254" s="40">
        <v>0</v>
      </c>
      <c r="BF254" s="40">
        <f>254</f>
        <v>254</v>
      </c>
      <c r="BH254" s="40">
        <f t="shared" si="157"/>
        <v>0</v>
      </c>
      <c r="BI254" s="40">
        <f t="shared" si="158"/>
        <v>0</v>
      </c>
      <c r="BJ254" s="40">
        <f t="shared" si="159"/>
        <v>0</v>
      </c>
      <c r="BK254" s="40"/>
      <c r="BL254" s="40">
        <v>87</v>
      </c>
    </row>
    <row r="255" spans="1:64" ht="15" customHeight="1">
      <c r="A255" s="19" t="s">
        <v>305</v>
      </c>
      <c r="B255" s="59" t="s">
        <v>1355</v>
      </c>
      <c r="C255" s="76" t="s">
        <v>722</v>
      </c>
      <c r="D255" s="76"/>
      <c r="E255" s="76"/>
      <c r="F255" s="76"/>
      <c r="G255" s="59" t="s">
        <v>312</v>
      </c>
      <c r="H255" s="40">
        <v>1</v>
      </c>
      <c r="I255" s="40">
        <v>0</v>
      </c>
      <c r="J255" s="40">
        <f t="shared" si="138"/>
        <v>0</v>
      </c>
      <c r="K255" s="40">
        <f t="shared" si="139"/>
        <v>0</v>
      </c>
      <c r="L255" s="40">
        <f t="shared" si="140"/>
        <v>0</v>
      </c>
      <c r="M255" s="69" t="s">
        <v>868</v>
      </c>
      <c r="Z255" s="40">
        <f t="shared" si="141"/>
        <v>0</v>
      </c>
      <c r="AB255" s="40">
        <f t="shared" si="142"/>
        <v>0</v>
      </c>
      <c r="AC255" s="40">
        <f t="shared" si="143"/>
        <v>0</v>
      </c>
      <c r="AD255" s="40">
        <f t="shared" si="144"/>
        <v>0</v>
      </c>
      <c r="AE255" s="40">
        <f t="shared" si="145"/>
        <v>0</v>
      </c>
      <c r="AF255" s="40">
        <f t="shared" si="146"/>
        <v>0</v>
      </c>
      <c r="AG255" s="40">
        <f t="shared" si="147"/>
        <v>0</v>
      </c>
      <c r="AH255" s="40">
        <f t="shared" si="148"/>
        <v>0</v>
      </c>
      <c r="AI255" s="11" t="s">
        <v>255</v>
      </c>
      <c r="AJ255" s="40">
        <f t="shared" si="149"/>
        <v>0</v>
      </c>
      <c r="AK255" s="40">
        <f t="shared" si="150"/>
        <v>0</v>
      </c>
      <c r="AL255" s="40">
        <f t="shared" si="151"/>
        <v>0</v>
      </c>
      <c r="AN255" s="40">
        <v>21</v>
      </c>
      <c r="AO255" s="40">
        <f>I255*1</f>
        <v>0</v>
      </c>
      <c r="AP255" s="40">
        <f>I255*(1-1)</f>
        <v>0</v>
      </c>
      <c r="AQ255" s="17" t="s">
        <v>1260</v>
      </c>
      <c r="AV255" s="40">
        <f t="shared" si="152"/>
        <v>0</v>
      </c>
      <c r="AW255" s="40">
        <f t="shared" si="153"/>
        <v>0</v>
      </c>
      <c r="AX255" s="40">
        <f t="shared" si="154"/>
        <v>0</v>
      </c>
      <c r="AY255" s="17" t="s">
        <v>88</v>
      </c>
      <c r="AZ255" s="17" t="s">
        <v>881</v>
      </c>
      <c r="BA255" s="11" t="s">
        <v>921</v>
      </c>
      <c r="BC255" s="40">
        <f t="shared" si="155"/>
        <v>0</v>
      </c>
      <c r="BD255" s="40">
        <f t="shared" si="156"/>
        <v>0</v>
      </c>
      <c r="BE255" s="40">
        <v>0</v>
      </c>
      <c r="BF255" s="40">
        <f>255</f>
        <v>255</v>
      </c>
      <c r="BH255" s="40">
        <f t="shared" si="157"/>
        <v>0</v>
      </c>
      <c r="BI255" s="40">
        <f t="shared" si="158"/>
        <v>0</v>
      </c>
      <c r="BJ255" s="40">
        <f t="shared" si="159"/>
        <v>0</v>
      </c>
      <c r="BK255" s="40"/>
      <c r="BL255" s="40">
        <v>87</v>
      </c>
    </row>
    <row r="256" spans="1:64" ht="15" customHeight="1">
      <c r="A256" s="19" t="s">
        <v>1346</v>
      </c>
      <c r="B256" s="59" t="s">
        <v>570</v>
      </c>
      <c r="C256" s="76" t="s">
        <v>345</v>
      </c>
      <c r="D256" s="76"/>
      <c r="E256" s="76"/>
      <c r="F256" s="76"/>
      <c r="G256" s="59" t="s">
        <v>312</v>
      </c>
      <c r="H256" s="40">
        <v>3</v>
      </c>
      <c r="I256" s="40">
        <v>0</v>
      </c>
      <c r="J256" s="40">
        <f t="shared" si="138"/>
        <v>0</v>
      </c>
      <c r="K256" s="40">
        <f t="shared" si="139"/>
        <v>0</v>
      </c>
      <c r="L256" s="40">
        <f t="shared" si="140"/>
        <v>0</v>
      </c>
      <c r="M256" s="69" t="s">
        <v>868</v>
      </c>
      <c r="Z256" s="40">
        <f t="shared" si="141"/>
        <v>0</v>
      </c>
      <c r="AB256" s="40">
        <f t="shared" si="142"/>
        <v>0</v>
      </c>
      <c r="AC256" s="40">
        <f t="shared" si="143"/>
        <v>0</v>
      </c>
      <c r="AD256" s="40">
        <f t="shared" si="144"/>
        <v>0</v>
      </c>
      <c r="AE256" s="40">
        <f t="shared" si="145"/>
        <v>0</v>
      </c>
      <c r="AF256" s="40">
        <f t="shared" si="146"/>
        <v>0</v>
      </c>
      <c r="AG256" s="40">
        <f t="shared" si="147"/>
        <v>0</v>
      </c>
      <c r="AH256" s="40">
        <f t="shared" si="148"/>
        <v>0</v>
      </c>
      <c r="AI256" s="11" t="s">
        <v>255</v>
      </c>
      <c r="AJ256" s="40">
        <f t="shared" si="149"/>
        <v>0</v>
      </c>
      <c r="AK256" s="40">
        <f t="shared" si="150"/>
        <v>0</v>
      </c>
      <c r="AL256" s="40">
        <f t="shared" si="151"/>
        <v>0</v>
      </c>
      <c r="AN256" s="40">
        <v>21</v>
      </c>
      <c r="AO256" s="40">
        <f>I256*0.00995348837209302</f>
        <v>0</v>
      </c>
      <c r="AP256" s="40">
        <f>I256*(1-0.00995348837209302)</f>
        <v>0</v>
      </c>
      <c r="AQ256" s="17" t="s">
        <v>1260</v>
      </c>
      <c r="AV256" s="40">
        <f t="shared" si="152"/>
        <v>0</v>
      </c>
      <c r="AW256" s="40">
        <f t="shared" si="153"/>
        <v>0</v>
      </c>
      <c r="AX256" s="40">
        <f t="shared" si="154"/>
        <v>0</v>
      </c>
      <c r="AY256" s="17" t="s">
        <v>88</v>
      </c>
      <c r="AZ256" s="17" t="s">
        <v>881</v>
      </c>
      <c r="BA256" s="11" t="s">
        <v>921</v>
      </c>
      <c r="BC256" s="40">
        <f t="shared" si="155"/>
        <v>0</v>
      </c>
      <c r="BD256" s="40">
        <f t="shared" si="156"/>
        <v>0</v>
      </c>
      <c r="BE256" s="40">
        <v>0</v>
      </c>
      <c r="BF256" s="40">
        <f>256</f>
        <v>256</v>
      </c>
      <c r="BH256" s="40">
        <f t="shared" si="157"/>
        <v>0</v>
      </c>
      <c r="BI256" s="40">
        <f t="shared" si="158"/>
        <v>0</v>
      </c>
      <c r="BJ256" s="40">
        <f t="shared" si="159"/>
        <v>0</v>
      </c>
      <c r="BK256" s="40"/>
      <c r="BL256" s="40">
        <v>87</v>
      </c>
    </row>
    <row r="257" spans="1:64" ht="15" customHeight="1">
      <c r="A257" s="19" t="s">
        <v>398</v>
      </c>
      <c r="B257" s="59" t="s">
        <v>803</v>
      </c>
      <c r="C257" s="76" t="s">
        <v>437</v>
      </c>
      <c r="D257" s="76"/>
      <c r="E257" s="76"/>
      <c r="F257" s="76"/>
      <c r="G257" s="59" t="s">
        <v>312</v>
      </c>
      <c r="H257" s="40">
        <v>3</v>
      </c>
      <c r="I257" s="40">
        <v>0</v>
      </c>
      <c r="J257" s="40">
        <f t="shared" si="138"/>
        <v>0</v>
      </c>
      <c r="K257" s="40">
        <f t="shared" si="139"/>
        <v>0</v>
      </c>
      <c r="L257" s="40">
        <f t="shared" si="140"/>
        <v>0</v>
      </c>
      <c r="M257" s="69" t="s">
        <v>868</v>
      </c>
      <c r="Z257" s="40">
        <f t="shared" si="141"/>
        <v>0</v>
      </c>
      <c r="AB257" s="40">
        <f t="shared" si="142"/>
        <v>0</v>
      </c>
      <c r="AC257" s="40">
        <f t="shared" si="143"/>
        <v>0</v>
      </c>
      <c r="AD257" s="40">
        <f t="shared" si="144"/>
        <v>0</v>
      </c>
      <c r="AE257" s="40">
        <f t="shared" si="145"/>
        <v>0</v>
      </c>
      <c r="AF257" s="40">
        <f t="shared" si="146"/>
        <v>0</v>
      </c>
      <c r="AG257" s="40">
        <f t="shared" si="147"/>
        <v>0</v>
      </c>
      <c r="AH257" s="40">
        <f t="shared" si="148"/>
        <v>0</v>
      </c>
      <c r="AI257" s="11" t="s">
        <v>255</v>
      </c>
      <c r="AJ257" s="40">
        <f t="shared" si="149"/>
        <v>0</v>
      </c>
      <c r="AK257" s="40">
        <f t="shared" si="150"/>
        <v>0</v>
      </c>
      <c r="AL257" s="40">
        <f t="shared" si="151"/>
        <v>0</v>
      </c>
      <c r="AN257" s="40">
        <v>21</v>
      </c>
      <c r="AO257" s="40">
        <f>I257*1</f>
        <v>0</v>
      </c>
      <c r="AP257" s="40">
        <f>I257*(1-1)</f>
        <v>0</v>
      </c>
      <c r="AQ257" s="17" t="s">
        <v>1260</v>
      </c>
      <c r="AV257" s="40">
        <f t="shared" si="152"/>
        <v>0</v>
      </c>
      <c r="AW257" s="40">
        <f t="shared" si="153"/>
        <v>0</v>
      </c>
      <c r="AX257" s="40">
        <f t="shared" si="154"/>
        <v>0</v>
      </c>
      <c r="AY257" s="17" t="s">
        <v>88</v>
      </c>
      <c r="AZ257" s="17" t="s">
        <v>881</v>
      </c>
      <c r="BA257" s="11" t="s">
        <v>921</v>
      </c>
      <c r="BC257" s="40">
        <f t="shared" si="155"/>
        <v>0</v>
      </c>
      <c r="BD257" s="40">
        <f t="shared" si="156"/>
        <v>0</v>
      </c>
      <c r="BE257" s="40">
        <v>0</v>
      </c>
      <c r="BF257" s="40">
        <f>257</f>
        <v>257</v>
      </c>
      <c r="BH257" s="40">
        <f t="shared" si="157"/>
        <v>0</v>
      </c>
      <c r="BI257" s="40">
        <f t="shared" si="158"/>
        <v>0</v>
      </c>
      <c r="BJ257" s="40">
        <f t="shared" si="159"/>
        <v>0</v>
      </c>
      <c r="BK257" s="40"/>
      <c r="BL257" s="40">
        <v>87</v>
      </c>
    </row>
    <row r="258" spans="1:64" ht="15" customHeight="1">
      <c r="A258" s="19" t="s">
        <v>1020</v>
      </c>
      <c r="B258" s="59" t="s">
        <v>1210</v>
      </c>
      <c r="C258" s="76" t="s">
        <v>1431</v>
      </c>
      <c r="D258" s="76"/>
      <c r="E258" s="76"/>
      <c r="F258" s="76"/>
      <c r="G258" s="59" t="s">
        <v>1041</v>
      </c>
      <c r="H258" s="40">
        <v>162.5</v>
      </c>
      <c r="I258" s="40">
        <v>0</v>
      </c>
      <c r="J258" s="40">
        <f t="shared" si="138"/>
        <v>0</v>
      </c>
      <c r="K258" s="40">
        <f t="shared" si="139"/>
        <v>0</v>
      </c>
      <c r="L258" s="40">
        <f t="shared" si="140"/>
        <v>0</v>
      </c>
      <c r="M258" s="69" t="s">
        <v>868</v>
      </c>
      <c r="Z258" s="40">
        <f t="shared" si="141"/>
        <v>0</v>
      </c>
      <c r="AB258" s="40">
        <f t="shared" si="142"/>
        <v>0</v>
      </c>
      <c r="AC258" s="40">
        <f t="shared" si="143"/>
        <v>0</v>
      </c>
      <c r="AD258" s="40">
        <f t="shared" si="144"/>
        <v>0</v>
      </c>
      <c r="AE258" s="40">
        <f t="shared" si="145"/>
        <v>0</v>
      </c>
      <c r="AF258" s="40">
        <f t="shared" si="146"/>
        <v>0</v>
      </c>
      <c r="AG258" s="40">
        <f t="shared" si="147"/>
        <v>0</v>
      </c>
      <c r="AH258" s="40">
        <f t="shared" si="148"/>
        <v>0</v>
      </c>
      <c r="AI258" s="11" t="s">
        <v>255</v>
      </c>
      <c r="AJ258" s="40">
        <f t="shared" si="149"/>
        <v>0</v>
      </c>
      <c r="AK258" s="40">
        <f t="shared" si="150"/>
        <v>0</v>
      </c>
      <c r="AL258" s="40">
        <f t="shared" si="151"/>
        <v>0</v>
      </c>
      <c r="AN258" s="40">
        <v>21</v>
      </c>
      <c r="AO258" s="40">
        <f>I258*0.00474576271186441</f>
        <v>0</v>
      </c>
      <c r="AP258" s="40">
        <f>I258*(1-0.00474576271186441)</f>
        <v>0</v>
      </c>
      <c r="AQ258" s="17" t="s">
        <v>1260</v>
      </c>
      <c r="AV258" s="40">
        <f t="shared" si="152"/>
        <v>0</v>
      </c>
      <c r="AW258" s="40">
        <f t="shared" si="153"/>
        <v>0</v>
      </c>
      <c r="AX258" s="40">
        <f t="shared" si="154"/>
        <v>0</v>
      </c>
      <c r="AY258" s="17" t="s">
        <v>88</v>
      </c>
      <c r="AZ258" s="17" t="s">
        <v>881</v>
      </c>
      <c r="BA258" s="11" t="s">
        <v>921</v>
      </c>
      <c r="BC258" s="40">
        <f t="shared" si="155"/>
        <v>0</v>
      </c>
      <c r="BD258" s="40">
        <f t="shared" si="156"/>
        <v>0</v>
      </c>
      <c r="BE258" s="40">
        <v>0</v>
      </c>
      <c r="BF258" s="40">
        <f>258</f>
        <v>258</v>
      </c>
      <c r="BH258" s="40">
        <f t="shared" si="157"/>
        <v>0</v>
      </c>
      <c r="BI258" s="40">
        <f t="shared" si="158"/>
        <v>0</v>
      </c>
      <c r="BJ258" s="40">
        <f t="shared" si="159"/>
        <v>0</v>
      </c>
      <c r="BK258" s="40"/>
      <c r="BL258" s="40">
        <v>87</v>
      </c>
    </row>
    <row r="259" spans="1:64" ht="15" customHeight="1">
      <c r="A259" s="19" t="s">
        <v>660</v>
      </c>
      <c r="B259" s="59" t="s">
        <v>771</v>
      </c>
      <c r="C259" s="76" t="s">
        <v>549</v>
      </c>
      <c r="D259" s="76"/>
      <c r="E259" s="76"/>
      <c r="F259" s="76"/>
      <c r="G259" s="59" t="s">
        <v>312</v>
      </c>
      <c r="H259" s="40">
        <v>27</v>
      </c>
      <c r="I259" s="40">
        <v>0</v>
      </c>
      <c r="J259" s="40">
        <f t="shared" si="138"/>
        <v>0</v>
      </c>
      <c r="K259" s="40">
        <f t="shared" si="139"/>
        <v>0</v>
      </c>
      <c r="L259" s="40">
        <f t="shared" si="140"/>
        <v>0</v>
      </c>
      <c r="M259" s="69" t="s">
        <v>868</v>
      </c>
      <c r="Z259" s="40">
        <f t="shared" si="141"/>
        <v>0</v>
      </c>
      <c r="AB259" s="40">
        <f t="shared" si="142"/>
        <v>0</v>
      </c>
      <c r="AC259" s="40">
        <f t="shared" si="143"/>
        <v>0</v>
      </c>
      <c r="AD259" s="40">
        <f t="shared" si="144"/>
        <v>0</v>
      </c>
      <c r="AE259" s="40">
        <f t="shared" si="145"/>
        <v>0</v>
      </c>
      <c r="AF259" s="40">
        <f t="shared" si="146"/>
        <v>0</v>
      </c>
      <c r="AG259" s="40">
        <f t="shared" si="147"/>
        <v>0</v>
      </c>
      <c r="AH259" s="40">
        <f t="shared" si="148"/>
        <v>0</v>
      </c>
      <c r="AI259" s="11" t="s">
        <v>255</v>
      </c>
      <c r="AJ259" s="40">
        <f t="shared" si="149"/>
        <v>0</v>
      </c>
      <c r="AK259" s="40">
        <f t="shared" si="150"/>
        <v>0</v>
      </c>
      <c r="AL259" s="40">
        <f t="shared" si="151"/>
        <v>0</v>
      </c>
      <c r="AN259" s="40">
        <v>21</v>
      </c>
      <c r="AO259" s="40">
        <f>I259*1</f>
        <v>0</v>
      </c>
      <c r="AP259" s="40">
        <f>I259*(1-1)</f>
        <v>0</v>
      </c>
      <c r="AQ259" s="17" t="s">
        <v>1260</v>
      </c>
      <c r="AV259" s="40">
        <f t="shared" si="152"/>
        <v>0</v>
      </c>
      <c r="AW259" s="40">
        <f t="shared" si="153"/>
        <v>0</v>
      </c>
      <c r="AX259" s="40">
        <f t="shared" si="154"/>
        <v>0</v>
      </c>
      <c r="AY259" s="17" t="s">
        <v>88</v>
      </c>
      <c r="AZ259" s="17" t="s">
        <v>881</v>
      </c>
      <c r="BA259" s="11" t="s">
        <v>921</v>
      </c>
      <c r="BC259" s="40">
        <f t="shared" si="155"/>
        <v>0</v>
      </c>
      <c r="BD259" s="40">
        <f t="shared" si="156"/>
        <v>0</v>
      </c>
      <c r="BE259" s="40">
        <v>0</v>
      </c>
      <c r="BF259" s="40">
        <f>259</f>
        <v>259</v>
      </c>
      <c r="BH259" s="40">
        <f t="shared" si="157"/>
        <v>0</v>
      </c>
      <c r="BI259" s="40">
        <f t="shared" si="158"/>
        <v>0</v>
      </c>
      <c r="BJ259" s="40">
        <f t="shared" si="159"/>
        <v>0</v>
      </c>
      <c r="BK259" s="40"/>
      <c r="BL259" s="40">
        <v>87</v>
      </c>
    </row>
    <row r="260" spans="1:64" ht="15" customHeight="1">
      <c r="A260" s="19" t="s">
        <v>34</v>
      </c>
      <c r="B260" s="59" t="s">
        <v>776</v>
      </c>
      <c r="C260" s="76" t="s">
        <v>288</v>
      </c>
      <c r="D260" s="76"/>
      <c r="E260" s="76"/>
      <c r="F260" s="76"/>
      <c r="G260" s="59" t="s">
        <v>312</v>
      </c>
      <c r="H260" s="40">
        <v>1</v>
      </c>
      <c r="I260" s="40">
        <v>0</v>
      </c>
      <c r="J260" s="40">
        <f t="shared" si="138"/>
        <v>0</v>
      </c>
      <c r="K260" s="40">
        <f t="shared" si="139"/>
        <v>0</v>
      </c>
      <c r="L260" s="40">
        <f t="shared" si="140"/>
        <v>0</v>
      </c>
      <c r="M260" s="69" t="s">
        <v>868</v>
      </c>
      <c r="Z260" s="40">
        <f t="shared" si="141"/>
        <v>0</v>
      </c>
      <c r="AB260" s="40">
        <f t="shared" si="142"/>
        <v>0</v>
      </c>
      <c r="AC260" s="40">
        <f t="shared" si="143"/>
        <v>0</v>
      </c>
      <c r="AD260" s="40">
        <f t="shared" si="144"/>
        <v>0</v>
      </c>
      <c r="AE260" s="40">
        <f t="shared" si="145"/>
        <v>0</v>
      </c>
      <c r="AF260" s="40">
        <f t="shared" si="146"/>
        <v>0</v>
      </c>
      <c r="AG260" s="40">
        <f t="shared" si="147"/>
        <v>0</v>
      </c>
      <c r="AH260" s="40">
        <f t="shared" si="148"/>
        <v>0</v>
      </c>
      <c r="AI260" s="11" t="s">
        <v>255</v>
      </c>
      <c r="AJ260" s="40">
        <f t="shared" si="149"/>
        <v>0</v>
      </c>
      <c r="AK260" s="40">
        <f t="shared" si="150"/>
        <v>0</v>
      </c>
      <c r="AL260" s="40">
        <f t="shared" si="151"/>
        <v>0</v>
      </c>
      <c r="AN260" s="40">
        <v>21</v>
      </c>
      <c r="AO260" s="40">
        <f>I260*1</f>
        <v>0</v>
      </c>
      <c r="AP260" s="40">
        <f>I260*(1-1)</f>
        <v>0</v>
      </c>
      <c r="AQ260" s="17" t="s">
        <v>1260</v>
      </c>
      <c r="AV260" s="40">
        <f t="shared" si="152"/>
        <v>0</v>
      </c>
      <c r="AW260" s="40">
        <f t="shared" si="153"/>
        <v>0</v>
      </c>
      <c r="AX260" s="40">
        <f t="shared" si="154"/>
        <v>0</v>
      </c>
      <c r="AY260" s="17" t="s">
        <v>88</v>
      </c>
      <c r="AZ260" s="17" t="s">
        <v>881</v>
      </c>
      <c r="BA260" s="11" t="s">
        <v>921</v>
      </c>
      <c r="BC260" s="40">
        <f t="shared" si="155"/>
        <v>0</v>
      </c>
      <c r="BD260" s="40">
        <f t="shared" si="156"/>
        <v>0</v>
      </c>
      <c r="BE260" s="40">
        <v>0</v>
      </c>
      <c r="BF260" s="40">
        <f>260</f>
        <v>260</v>
      </c>
      <c r="BH260" s="40">
        <f t="shared" si="157"/>
        <v>0</v>
      </c>
      <c r="BI260" s="40">
        <f t="shared" si="158"/>
        <v>0</v>
      </c>
      <c r="BJ260" s="40">
        <f t="shared" si="159"/>
        <v>0</v>
      </c>
      <c r="BK260" s="40"/>
      <c r="BL260" s="40">
        <v>87</v>
      </c>
    </row>
    <row r="261" spans="1:64" ht="15" customHeight="1">
      <c r="A261" s="19" t="s">
        <v>955</v>
      </c>
      <c r="B261" s="59" t="s">
        <v>1110</v>
      </c>
      <c r="C261" s="76" t="s">
        <v>485</v>
      </c>
      <c r="D261" s="76"/>
      <c r="E261" s="76"/>
      <c r="F261" s="76"/>
      <c r="G261" s="59" t="s">
        <v>312</v>
      </c>
      <c r="H261" s="40">
        <v>3</v>
      </c>
      <c r="I261" s="40">
        <v>0</v>
      </c>
      <c r="J261" s="40">
        <f t="shared" si="138"/>
        <v>0</v>
      </c>
      <c r="K261" s="40">
        <f t="shared" si="139"/>
        <v>0</v>
      </c>
      <c r="L261" s="40">
        <f t="shared" si="140"/>
        <v>0</v>
      </c>
      <c r="M261" s="69" t="s">
        <v>868</v>
      </c>
      <c r="Z261" s="40">
        <f t="shared" si="141"/>
        <v>0</v>
      </c>
      <c r="AB261" s="40">
        <f t="shared" si="142"/>
        <v>0</v>
      </c>
      <c r="AC261" s="40">
        <f t="shared" si="143"/>
        <v>0</v>
      </c>
      <c r="AD261" s="40">
        <f t="shared" si="144"/>
        <v>0</v>
      </c>
      <c r="AE261" s="40">
        <f t="shared" si="145"/>
        <v>0</v>
      </c>
      <c r="AF261" s="40">
        <f t="shared" si="146"/>
        <v>0</v>
      </c>
      <c r="AG261" s="40">
        <f t="shared" si="147"/>
        <v>0</v>
      </c>
      <c r="AH261" s="40">
        <f t="shared" si="148"/>
        <v>0</v>
      </c>
      <c r="AI261" s="11" t="s">
        <v>255</v>
      </c>
      <c r="AJ261" s="40">
        <f t="shared" si="149"/>
        <v>0</v>
      </c>
      <c r="AK261" s="40">
        <f t="shared" si="150"/>
        <v>0</v>
      </c>
      <c r="AL261" s="40">
        <f t="shared" si="151"/>
        <v>0</v>
      </c>
      <c r="AN261" s="40">
        <v>21</v>
      </c>
      <c r="AO261" s="40">
        <f>I261*0.0117908787541713</f>
        <v>0</v>
      </c>
      <c r="AP261" s="40">
        <f>I261*(1-0.0117908787541713)</f>
        <v>0</v>
      </c>
      <c r="AQ261" s="17" t="s">
        <v>1260</v>
      </c>
      <c r="AV261" s="40">
        <f t="shared" si="152"/>
        <v>0</v>
      </c>
      <c r="AW261" s="40">
        <f t="shared" si="153"/>
        <v>0</v>
      </c>
      <c r="AX261" s="40">
        <f t="shared" si="154"/>
        <v>0</v>
      </c>
      <c r="AY261" s="17" t="s">
        <v>88</v>
      </c>
      <c r="AZ261" s="17" t="s">
        <v>881</v>
      </c>
      <c r="BA261" s="11" t="s">
        <v>921</v>
      </c>
      <c r="BC261" s="40">
        <f t="shared" si="155"/>
        <v>0</v>
      </c>
      <c r="BD261" s="40">
        <f t="shared" si="156"/>
        <v>0</v>
      </c>
      <c r="BE261" s="40">
        <v>0</v>
      </c>
      <c r="BF261" s="40">
        <f>261</f>
        <v>261</v>
      </c>
      <c r="BH261" s="40">
        <f t="shared" si="157"/>
        <v>0</v>
      </c>
      <c r="BI261" s="40">
        <f t="shared" si="158"/>
        <v>0</v>
      </c>
      <c r="BJ261" s="40">
        <f t="shared" si="159"/>
        <v>0</v>
      </c>
      <c r="BK261" s="40"/>
      <c r="BL261" s="40">
        <v>87</v>
      </c>
    </row>
    <row r="262" spans="1:64" ht="15" customHeight="1">
      <c r="A262" s="19" t="s">
        <v>1353</v>
      </c>
      <c r="B262" s="59" t="s">
        <v>397</v>
      </c>
      <c r="C262" s="76" t="s">
        <v>788</v>
      </c>
      <c r="D262" s="76"/>
      <c r="E262" s="76"/>
      <c r="F262" s="76"/>
      <c r="G262" s="59" t="s">
        <v>312</v>
      </c>
      <c r="H262" s="40">
        <v>3</v>
      </c>
      <c r="I262" s="40">
        <v>0</v>
      </c>
      <c r="J262" s="40">
        <f t="shared" si="138"/>
        <v>0</v>
      </c>
      <c r="K262" s="40">
        <f t="shared" si="139"/>
        <v>0</v>
      </c>
      <c r="L262" s="40">
        <f t="shared" si="140"/>
        <v>0</v>
      </c>
      <c r="M262" s="69" t="s">
        <v>868</v>
      </c>
      <c r="Z262" s="40">
        <f t="shared" si="141"/>
        <v>0</v>
      </c>
      <c r="AB262" s="40">
        <f t="shared" si="142"/>
        <v>0</v>
      </c>
      <c r="AC262" s="40">
        <f t="shared" si="143"/>
        <v>0</v>
      </c>
      <c r="AD262" s="40">
        <f t="shared" si="144"/>
        <v>0</v>
      </c>
      <c r="AE262" s="40">
        <f t="shared" si="145"/>
        <v>0</v>
      </c>
      <c r="AF262" s="40">
        <f t="shared" si="146"/>
        <v>0</v>
      </c>
      <c r="AG262" s="40">
        <f t="shared" si="147"/>
        <v>0</v>
      </c>
      <c r="AH262" s="40">
        <f t="shared" si="148"/>
        <v>0</v>
      </c>
      <c r="AI262" s="11" t="s">
        <v>255</v>
      </c>
      <c r="AJ262" s="40">
        <f t="shared" si="149"/>
        <v>0</v>
      </c>
      <c r="AK262" s="40">
        <f t="shared" si="150"/>
        <v>0</v>
      </c>
      <c r="AL262" s="40">
        <f t="shared" si="151"/>
        <v>0</v>
      </c>
      <c r="AN262" s="40">
        <v>21</v>
      </c>
      <c r="AO262" s="40">
        <f>I262*1</f>
        <v>0</v>
      </c>
      <c r="AP262" s="40">
        <f>I262*(1-1)</f>
        <v>0</v>
      </c>
      <c r="AQ262" s="17" t="s">
        <v>1260</v>
      </c>
      <c r="AV262" s="40">
        <f t="shared" si="152"/>
        <v>0</v>
      </c>
      <c r="AW262" s="40">
        <f t="shared" si="153"/>
        <v>0</v>
      </c>
      <c r="AX262" s="40">
        <f t="shared" si="154"/>
        <v>0</v>
      </c>
      <c r="AY262" s="17" t="s">
        <v>88</v>
      </c>
      <c r="AZ262" s="17" t="s">
        <v>881</v>
      </c>
      <c r="BA262" s="11" t="s">
        <v>921</v>
      </c>
      <c r="BC262" s="40">
        <f t="shared" si="155"/>
        <v>0</v>
      </c>
      <c r="BD262" s="40">
        <f t="shared" si="156"/>
        <v>0</v>
      </c>
      <c r="BE262" s="40">
        <v>0</v>
      </c>
      <c r="BF262" s="40">
        <f>262</f>
        <v>262</v>
      </c>
      <c r="BH262" s="40">
        <f t="shared" si="157"/>
        <v>0</v>
      </c>
      <c r="BI262" s="40">
        <f t="shared" si="158"/>
        <v>0</v>
      </c>
      <c r="BJ262" s="40">
        <f t="shared" si="159"/>
        <v>0</v>
      </c>
      <c r="BK262" s="40"/>
      <c r="BL262" s="40">
        <v>87</v>
      </c>
    </row>
    <row r="263" spans="1:64" ht="15" customHeight="1">
      <c r="A263" s="19" t="s">
        <v>1249</v>
      </c>
      <c r="B263" s="59" t="s">
        <v>220</v>
      </c>
      <c r="C263" s="76" t="s">
        <v>308</v>
      </c>
      <c r="D263" s="76"/>
      <c r="E263" s="76"/>
      <c r="F263" s="76"/>
      <c r="G263" s="59" t="s">
        <v>1041</v>
      </c>
      <c r="H263" s="40">
        <v>99.4</v>
      </c>
      <c r="I263" s="40">
        <v>0</v>
      </c>
      <c r="J263" s="40">
        <f t="shared" si="138"/>
        <v>0</v>
      </c>
      <c r="K263" s="40">
        <f t="shared" si="139"/>
        <v>0</v>
      </c>
      <c r="L263" s="40">
        <f t="shared" si="140"/>
        <v>0</v>
      </c>
      <c r="M263" s="69" t="s">
        <v>868</v>
      </c>
      <c r="Z263" s="40">
        <f t="shared" si="141"/>
        <v>0</v>
      </c>
      <c r="AB263" s="40">
        <f t="shared" si="142"/>
        <v>0</v>
      </c>
      <c r="AC263" s="40">
        <f t="shared" si="143"/>
        <v>0</v>
      </c>
      <c r="AD263" s="40">
        <f t="shared" si="144"/>
        <v>0</v>
      </c>
      <c r="AE263" s="40">
        <f t="shared" si="145"/>
        <v>0</v>
      </c>
      <c r="AF263" s="40">
        <f t="shared" si="146"/>
        <v>0</v>
      </c>
      <c r="AG263" s="40">
        <f t="shared" si="147"/>
        <v>0</v>
      </c>
      <c r="AH263" s="40">
        <f t="shared" si="148"/>
        <v>0</v>
      </c>
      <c r="AI263" s="11" t="s">
        <v>255</v>
      </c>
      <c r="AJ263" s="40">
        <f t="shared" si="149"/>
        <v>0</v>
      </c>
      <c r="AK263" s="40">
        <f t="shared" si="150"/>
        <v>0</v>
      </c>
      <c r="AL263" s="40">
        <f t="shared" si="151"/>
        <v>0</v>
      </c>
      <c r="AN263" s="40">
        <v>21</v>
      </c>
      <c r="AO263" s="40">
        <f>I263*0.00459627329192547</f>
        <v>0</v>
      </c>
      <c r="AP263" s="40">
        <f>I263*(1-0.00459627329192547)</f>
        <v>0</v>
      </c>
      <c r="AQ263" s="17" t="s">
        <v>1260</v>
      </c>
      <c r="AV263" s="40">
        <f t="shared" si="152"/>
        <v>0</v>
      </c>
      <c r="AW263" s="40">
        <f t="shared" si="153"/>
        <v>0</v>
      </c>
      <c r="AX263" s="40">
        <f t="shared" si="154"/>
        <v>0</v>
      </c>
      <c r="AY263" s="17" t="s">
        <v>88</v>
      </c>
      <c r="AZ263" s="17" t="s">
        <v>881</v>
      </c>
      <c r="BA263" s="11" t="s">
        <v>921</v>
      </c>
      <c r="BC263" s="40">
        <f t="shared" si="155"/>
        <v>0</v>
      </c>
      <c r="BD263" s="40">
        <f t="shared" si="156"/>
        <v>0</v>
      </c>
      <c r="BE263" s="40">
        <v>0</v>
      </c>
      <c r="BF263" s="40">
        <f>263</f>
        <v>263</v>
      </c>
      <c r="BH263" s="40">
        <f t="shared" si="157"/>
        <v>0</v>
      </c>
      <c r="BI263" s="40">
        <f t="shared" si="158"/>
        <v>0</v>
      </c>
      <c r="BJ263" s="40">
        <f t="shared" si="159"/>
        <v>0</v>
      </c>
      <c r="BK263" s="40"/>
      <c r="BL263" s="40">
        <v>87</v>
      </c>
    </row>
    <row r="264" spans="1:64" ht="15" customHeight="1">
      <c r="A264" s="19" t="s">
        <v>983</v>
      </c>
      <c r="B264" s="59" t="s">
        <v>651</v>
      </c>
      <c r="C264" s="76" t="s">
        <v>1411</v>
      </c>
      <c r="D264" s="76"/>
      <c r="E264" s="76"/>
      <c r="F264" s="76"/>
      <c r="G264" s="59" t="s">
        <v>312</v>
      </c>
      <c r="H264" s="40">
        <v>17</v>
      </c>
      <c r="I264" s="40">
        <v>0</v>
      </c>
      <c r="J264" s="40">
        <f t="shared" si="138"/>
        <v>0</v>
      </c>
      <c r="K264" s="40">
        <f t="shared" si="139"/>
        <v>0</v>
      </c>
      <c r="L264" s="40">
        <f t="shared" si="140"/>
        <v>0</v>
      </c>
      <c r="M264" s="69" t="s">
        <v>868</v>
      </c>
      <c r="Z264" s="40">
        <f t="shared" si="141"/>
        <v>0</v>
      </c>
      <c r="AB264" s="40">
        <f t="shared" si="142"/>
        <v>0</v>
      </c>
      <c r="AC264" s="40">
        <f t="shared" si="143"/>
        <v>0</v>
      </c>
      <c r="AD264" s="40">
        <f t="shared" si="144"/>
        <v>0</v>
      </c>
      <c r="AE264" s="40">
        <f t="shared" si="145"/>
        <v>0</v>
      </c>
      <c r="AF264" s="40">
        <f t="shared" si="146"/>
        <v>0</v>
      </c>
      <c r="AG264" s="40">
        <f t="shared" si="147"/>
        <v>0</v>
      </c>
      <c r="AH264" s="40">
        <f t="shared" si="148"/>
        <v>0</v>
      </c>
      <c r="AI264" s="11" t="s">
        <v>255</v>
      </c>
      <c r="AJ264" s="40">
        <f t="shared" si="149"/>
        <v>0</v>
      </c>
      <c r="AK264" s="40">
        <f t="shared" si="150"/>
        <v>0</v>
      </c>
      <c r="AL264" s="40">
        <f t="shared" si="151"/>
        <v>0</v>
      </c>
      <c r="AN264" s="40">
        <v>21</v>
      </c>
      <c r="AO264" s="40">
        <f>I264*1</f>
        <v>0</v>
      </c>
      <c r="AP264" s="40">
        <f>I264*(1-1)</f>
        <v>0</v>
      </c>
      <c r="AQ264" s="17" t="s">
        <v>1260</v>
      </c>
      <c r="AV264" s="40">
        <f t="shared" si="152"/>
        <v>0</v>
      </c>
      <c r="AW264" s="40">
        <f t="shared" si="153"/>
        <v>0</v>
      </c>
      <c r="AX264" s="40">
        <f t="shared" si="154"/>
        <v>0</v>
      </c>
      <c r="AY264" s="17" t="s">
        <v>88</v>
      </c>
      <c r="AZ264" s="17" t="s">
        <v>881</v>
      </c>
      <c r="BA264" s="11" t="s">
        <v>921</v>
      </c>
      <c r="BC264" s="40">
        <f t="shared" si="155"/>
        <v>0</v>
      </c>
      <c r="BD264" s="40">
        <f t="shared" si="156"/>
        <v>0</v>
      </c>
      <c r="BE264" s="40">
        <v>0</v>
      </c>
      <c r="BF264" s="40">
        <f>264</f>
        <v>264</v>
      </c>
      <c r="BH264" s="40">
        <f t="shared" si="157"/>
        <v>0</v>
      </c>
      <c r="BI264" s="40">
        <f t="shared" si="158"/>
        <v>0</v>
      </c>
      <c r="BJ264" s="40">
        <f t="shared" si="159"/>
        <v>0</v>
      </c>
      <c r="BK264" s="40"/>
      <c r="BL264" s="40">
        <v>87</v>
      </c>
    </row>
    <row r="265" spans="1:64" ht="15" customHeight="1">
      <c r="A265" s="19" t="s">
        <v>799</v>
      </c>
      <c r="B265" s="59" t="s">
        <v>1110</v>
      </c>
      <c r="C265" s="76" t="s">
        <v>485</v>
      </c>
      <c r="D265" s="76"/>
      <c r="E265" s="76"/>
      <c r="F265" s="76"/>
      <c r="G265" s="59" t="s">
        <v>312</v>
      </c>
      <c r="H265" s="40">
        <v>1</v>
      </c>
      <c r="I265" s="40">
        <v>0</v>
      </c>
      <c r="J265" s="40">
        <f t="shared" si="138"/>
        <v>0</v>
      </c>
      <c r="K265" s="40">
        <f t="shared" si="139"/>
        <v>0</v>
      </c>
      <c r="L265" s="40">
        <f t="shared" si="140"/>
        <v>0</v>
      </c>
      <c r="M265" s="69" t="s">
        <v>868</v>
      </c>
      <c r="Z265" s="40">
        <f t="shared" si="141"/>
        <v>0</v>
      </c>
      <c r="AB265" s="40">
        <f t="shared" si="142"/>
        <v>0</v>
      </c>
      <c r="AC265" s="40">
        <f t="shared" si="143"/>
        <v>0</v>
      </c>
      <c r="AD265" s="40">
        <f t="shared" si="144"/>
        <v>0</v>
      </c>
      <c r="AE265" s="40">
        <f t="shared" si="145"/>
        <v>0</v>
      </c>
      <c r="AF265" s="40">
        <f t="shared" si="146"/>
        <v>0</v>
      </c>
      <c r="AG265" s="40">
        <f t="shared" si="147"/>
        <v>0</v>
      </c>
      <c r="AH265" s="40">
        <f t="shared" si="148"/>
        <v>0</v>
      </c>
      <c r="AI265" s="11" t="s">
        <v>255</v>
      </c>
      <c r="AJ265" s="40">
        <f t="shared" si="149"/>
        <v>0</v>
      </c>
      <c r="AK265" s="40">
        <f t="shared" si="150"/>
        <v>0</v>
      </c>
      <c r="AL265" s="40">
        <f t="shared" si="151"/>
        <v>0</v>
      </c>
      <c r="AN265" s="40">
        <v>21</v>
      </c>
      <c r="AO265" s="40">
        <f>I265*0.0117908787541713</f>
        <v>0</v>
      </c>
      <c r="AP265" s="40">
        <f>I265*(1-0.0117908787541713)</f>
        <v>0</v>
      </c>
      <c r="AQ265" s="17" t="s">
        <v>1260</v>
      </c>
      <c r="AV265" s="40">
        <f t="shared" si="152"/>
        <v>0</v>
      </c>
      <c r="AW265" s="40">
        <f t="shared" si="153"/>
        <v>0</v>
      </c>
      <c r="AX265" s="40">
        <f t="shared" si="154"/>
        <v>0</v>
      </c>
      <c r="AY265" s="17" t="s">
        <v>88</v>
      </c>
      <c r="AZ265" s="17" t="s">
        <v>881</v>
      </c>
      <c r="BA265" s="11" t="s">
        <v>921</v>
      </c>
      <c r="BC265" s="40">
        <f t="shared" si="155"/>
        <v>0</v>
      </c>
      <c r="BD265" s="40">
        <f t="shared" si="156"/>
        <v>0</v>
      </c>
      <c r="BE265" s="40">
        <v>0</v>
      </c>
      <c r="BF265" s="40">
        <f>265</f>
        <v>265</v>
      </c>
      <c r="BH265" s="40">
        <f t="shared" si="157"/>
        <v>0</v>
      </c>
      <c r="BI265" s="40">
        <f t="shared" si="158"/>
        <v>0</v>
      </c>
      <c r="BJ265" s="40">
        <f t="shared" si="159"/>
        <v>0</v>
      </c>
      <c r="BK265" s="40"/>
      <c r="BL265" s="40">
        <v>87</v>
      </c>
    </row>
    <row r="266" spans="1:64" ht="15" customHeight="1">
      <c r="A266" s="19" t="s">
        <v>129</v>
      </c>
      <c r="B266" s="59" t="s">
        <v>391</v>
      </c>
      <c r="C266" s="76" t="s">
        <v>1062</v>
      </c>
      <c r="D266" s="76"/>
      <c r="E266" s="76"/>
      <c r="F266" s="76"/>
      <c r="G266" s="59" t="s">
        <v>312</v>
      </c>
      <c r="H266" s="40">
        <v>1</v>
      </c>
      <c r="I266" s="40">
        <v>0</v>
      </c>
      <c r="J266" s="40">
        <f t="shared" si="138"/>
        <v>0</v>
      </c>
      <c r="K266" s="40">
        <f t="shared" si="139"/>
        <v>0</v>
      </c>
      <c r="L266" s="40">
        <f t="shared" si="140"/>
        <v>0</v>
      </c>
      <c r="M266" s="69" t="s">
        <v>868</v>
      </c>
      <c r="Z266" s="40">
        <f t="shared" si="141"/>
        <v>0</v>
      </c>
      <c r="AB266" s="40">
        <f t="shared" si="142"/>
        <v>0</v>
      </c>
      <c r="AC266" s="40">
        <f t="shared" si="143"/>
        <v>0</v>
      </c>
      <c r="AD266" s="40">
        <f t="shared" si="144"/>
        <v>0</v>
      </c>
      <c r="AE266" s="40">
        <f t="shared" si="145"/>
        <v>0</v>
      </c>
      <c r="AF266" s="40">
        <f t="shared" si="146"/>
        <v>0</v>
      </c>
      <c r="AG266" s="40">
        <f t="shared" si="147"/>
        <v>0</v>
      </c>
      <c r="AH266" s="40">
        <f t="shared" si="148"/>
        <v>0</v>
      </c>
      <c r="AI266" s="11" t="s">
        <v>255</v>
      </c>
      <c r="AJ266" s="40">
        <f t="shared" si="149"/>
        <v>0</v>
      </c>
      <c r="AK266" s="40">
        <f t="shared" si="150"/>
        <v>0</v>
      </c>
      <c r="AL266" s="40">
        <f t="shared" si="151"/>
        <v>0</v>
      </c>
      <c r="AN266" s="40">
        <v>21</v>
      </c>
      <c r="AO266" s="40">
        <f>I266*1</f>
        <v>0</v>
      </c>
      <c r="AP266" s="40">
        <f>I266*(1-1)</f>
        <v>0</v>
      </c>
      <c r="AQ266" s="17" t="s">
        <v>1260</v>
      </c>
      <c r="AV266" s="40">
        <f t="shared" si="152"/>
        <v>0</v>
      </c>
      <c r="AW266" s="40">
        <f t="shared" si="153"/>
        <v>0</v>
      </c>
      <c r="AX266" s="40">
        <f t="shared" si="154"/>
        <v>0</v>
      </c>
      <c r="AY266" s="17" t="s">
        <v>88</v>
      </c>
      <c r="AZ266" s="17" t="s">
        <v>881</v>
      </c>
      <c r="BA266" s="11" t="s">
        <v>921</v>
      </c>
      <c r="BC266" s="40">
        <f t="shared" si="155"/>
        <v>0</v>
      </c>
      <c r="BD266" s="40">
        <f t="shared" si="156"/>
        <v>0</v>
      </c>
      <c r="BE266" s="40">
        <v>0</v>
      </c>
      <c r="BF266" s="40">
        <f>266</f>
        <v>266</v>
      </c>
      <c r="BH266" s="40">
        <f t="shared" si="157"/>
        <v>0</v>
      </c>
      <c r="BI266" s="40">
        <f t="shared" si="158"/>
        <v>0</v>
      </c>
      <c r="BJ266" s="40">
        <f t="shared" si="159"/>
        <v>0</v>
      </c>
      <c r="BK266" s="40"/>
      <c r="BL266" s="40">
        <v>87</v>
      </c>
    </row>
    <row r="267" spans="1:64" ht="15" customHeight="1">
      <c r="A267" s="19" t="s">
        <v>870</v>
      </c>
      <c r="B267" s="59" t="s">
        <v>835</v>
      </c>
      <c r="C267" s="76" t="s">
        <v>225</v>
      </c>
      <c r="D267" s="76"/>
      <c r="E267" s="76"/>
      <c r="F267" s="76"/>
      <c r="G267" s="59" t="s">
        <v>312</v>
      </c>
      <c r="H267" s="40">
        <v>24</v>
      </c>
      <c r="I267" s="40">
        <v>0</v>
      </c>
      <c r="J267" s="40">
        <f t="shared" si="138"/>
        <v>0</v>
      </c>
      <c r="K267" s="40">
        <f t="shared" si="139"/>
        <v>0</v>
      </c>
      <c r="L267" s="40">
        <f t="shared" si="140"/>
        <v>0</v>
      </c>
      <c r="M267" s="69" t="s">
        <v>868</v>
      </c>
      <c r="Z267" s="40">
        <f t="shared" si="141"/>
        <v>0</v>
      </c>
      <c r="AB267" s="40">
        <f t="shared" si="142"/>
        <v>0</v>
      </c>
      <c r="AC267" s="40">
        <f t="shared" si="143"/>
        <v>0</v>
      </c>
      <c r="AD267" s="40">
        <f t="shared" si="144"/>
        <v>0</v>
      </c>
      <c r="AE267" s="40">
        <f t="shared" si="145"/>
        <v>0</v>
      </c>
      <c r="AF267" s="40">
        <f t="shared" si="146"/>
        <v>0</v>
      </c>
      <c r="AG267" s="40">
        <f t="shared" si="147"/>
        <v>0</v>
      </c>
      <c r="AH267" s="40">
        <f t="shared" si="148"/>
        <v>0</v>
      </c>
      <c r="AI267" s="11" t="s">
        <v>255</v>
      </c>
      <c r="AJ267" s="40">
        <f t="shared" si="149"/>
        <v>0</v>
      </c>
      <c r="AK267" s="40">
        <f t="shared" si="150"/>
        <v>0</v>
      </c>
      <c r="AL267" s="40">
        <f t="shared" si="151"/>
        <v>0</v>
      </c>
      <c r="AN267" s="40">
        <v>21</v>
      </c>
      <c r="AO267" s="40">
        <f>I267*0.00667420687801655</f>
        <v>0</v>
      </c>
      <c r="AP267" s="40">
        <f>I267*(1-0.00667420687801655)</f>
        <v>0</v>
      </c>
      <c r="AQ267" s="17" t="s">
        <v>1260</v>
      </c>
      <c r="AV267" s="40">
        <f t="shared" si="152"/>
        <v>0</v>
      </c>
      <c r="AW267" s="40">
        <f t="shared" si="153"/>
        <v>0</v>
      </c>
      <c r="AX267" s="40">
        <f t="shared" si="154"/>
        <v>0</v>
      </c>
      <c r="AY267" s="17" t="s">
        <v>88</v>
      </c>
      <c r="AZ267" s="17" t="s">
        <v>881</v>
      </c>
      <c r="BA267" s="11" t="s">
        <v>921</v>
      </c>
      <c r="BC267" s="40">
        <f t="shared" si="155"/>
        <v>0</v>
      </c>
      <c r="BD267" s="40">
        <f t="shared" si="156"/>
        <v>0</v>
      </c>
      <c r="BE267" s="40">
        <v>0</v>
      </c>
      <c r="BF267" s="40">
        <f>267</f>
        <v>267</v>
      </c>
      <c r="BH267" s="40">
        <f t="shared" si="157"/>
        <v>0</v>
      </c>
      <c r="BI267" s="40">
        <f t="shared" si="158"/>
        <v>0</v>
      </c>
      <c r="BJ267" s="40">
        <f t="shared" si="159"/>
        <v>0</v>
      </c>
      <c r="BK267" s="40"/>
      <c r="BL267" s="40">
        <v>87</v>
      </c>
    </row>
    <row r="268" spans="1:64" ht="15" customHeight="1">
      <c r="A268" s="19" t="s">
        <v>990</v>
      </c>
      <c r="B268" s="59" t="s">
        <v>394</v>
      </c>
      <c r="C268" s="76" t="s">
        <v>532</v>
      </c>
      <c r="D268" s="76"/>
      <c r="E268" s="76"/>
      <c r="F268" s="76"/>
      <c r="G268" s="59" t="s">
        <v>312</v>
      </c>
      <c r="H268" s="40">
        <v>13</v>
      </c>
      <c r="I268" s="40">
        <v>0</v>
      </c>
      <c r="J268" s="40">
        <f t="shared" si="138"/>
        <v>0</v>
      </c>
      <c r="K268" s="40">
        <f t="shared" si="139"/>
        <v>0</v>
      </c>
      <c r="L268" s="40">
        <f t="shared" si="140"/>
        <v>0</v>
      </c>
      <c r="M268" s="69" t="s">
        <v>868</v>
      </c>
      <c r="Z268" s="40">
        <f t="shared" si="141"/>
        <v>0</v>
      </c>
      <c r="AB268" s="40">
        <f t="shared" si="142"/>
        <v>0</v>
      </c>
      <c r="AC268" s="40">
        <f t="shared" si="143"/>
        <v>0</v>
      </c>
      <c r="AD268" s="40">
        <f t="shared" si="144"/>
        <v>0</v>
      </c>
      <c r="AE268" s="40">
        <f t="shared" si="145"/>
        <v>0</v>
      </c>
      <c r="AF268" s="40">
        <f t="shared" si="146"/>
        <v>0</v>
      </c>
      <c r="AG268" s="40">
        <f t="shared" si="147"/>
        <v>0</v>
      </c>
      <c r="AH268" s="40">
        <f t="shared" si="148"/>
        <v>0</v>
      </c>
      <c r="AI268" s="11" t="s">
        <v>255</v>
      </c>
      <c r="AJ268" s="40">
        <f t="shared" si="149"/>
        <v>0</v>
      </c>
      <c r="AK268" s="40">
        <f t="shared" si="150"/>
        <v>0</v>
      </c>
      <c r="AL268" s="40">
        <f t="shared" si="151"/>
        <v>0</v>
      </c>
      <c r="AN268" s="40">
        <v>21</v>
      </c>
      <c r="AO268" s="40">
        <f>I268*0.00803104575163399</f>
        <v>0</v>
      </c>
      <c r="AP268" s="40">
        <f>I268*(1-0.00803104575163399)</f>
        <v>0</v>
      </c>
      <c r="AQ268" s="17" t="s">
        <v>1260</v>
      </c>
      <c r="AV268" s="40">
        <f t="shared" si="152"/>
        <v>0</v>
      </c>
      <c r="AW268" s="40">
        <f t="shared" si="153"/>
        <v>0</v>
      </c>
      <c r="AX268" s="40">
        <f t="shared" si="154"/>
        <v>0</v>
      </c>
      <c r="AY268" s="17" t="s">
        <v>88</v>
      </c>
      <c r="AZ268" s="17" t="s">
        <v>881</v>
      </c>
      <c r="BA268" s="11" t="s">
        <v>921</v>
      </c>
      <c r="BC268" s="40">
        <f t="shared" si="155"/>
        <v>0</v>
      </c>
      <c r="BD268" s="40">
        <f t="shared" si="156"/>
        <v>0</v>
      </c>
      <c r="BE268" s="40">
        <v>0</v>
      </c>
      <c r="BF268" s="40">
        <f>268</f>
        <v>268</v>
      </c>
      <c r="BH268" s="40">
        <f t="shared" si="157"/>
        <v>0</v>
      </c>
      <c r="BI268" s="40">
        <f t="shared" si="158"/>
        <v>0</v>
      </c>
      <c r="BJ268" s="40">
        <f t="shared" si="159"/>
        <v>0</v>
      </c>
      <c r="BK268" s="40"/>
      <c r="BL268" s="40">
        <v>87</v>
      </c>
    </row>
    <row r="269" spans="1:64" ht="15" customHeight="1">
      <c r="A269" s="19" t="s">
        <v>297</v>
      </c>
      <c r="B269" s="59" t="s">
        <v>2</v>
      </c>
      <c r="C269" s="76" t="s">
        <v>377</v>
      </c>
      <c r="D269" s="76"/>
      <c r="E269" s="76"/>
      <c r="F269" s="76"/>
      <c r="G269" s="59" t="s">
        <v>312</v>
      </c>
      <c r="H269" s="40">
        <v>6</v>
      </c>
      <c r="I269" s="40">
        <v>0</v>
      </c>
      <c r="J269" s="40">
        <f t="shared" si="138"/>
        <v>0</v>
      </c>
      <c r="K269" s="40">
        <f t="shared" si="139"/>
        <v>0</v>
      </c>
      <c r="L269" s="40">
        <f t="shared" si="140"/>
        <v>0</v>
      </c>
      <c r="M269" s="69" t="s">
        <v>868</v>
      </c>
      <c r="Z269" s="40">
        <f t="shared" si="141"/>
        <v>0</v>
      </c>
      <c r="AB269" s="40">
        <f t="shared" si="142"/>
        <v>0</v>
      </c>
      <c r="AC269" s="40">
        <f t="shared" si="143"/>
        <v>0</v>
      </c>
      <c r="AD269" s="40">
        <f t="shared" si="144"/>
        <v>0</v>
      </c>
      <c r="AE269" s="40">
        <f t="shared" si="145"/>
        <v>0</v>
      </c>
      <c r="AF269" s="40">
        <f t="shared" si="146"/>
        <v>0</v>
      </c>
      <c r="AG269" s="40">
        <f t="shared" si="147"/>
        <v>0</v>
      </c>
      <c r="AH269" s="40">
        <f t="shared" si="148"/>
        <v>0</v>
      </c>
      <c r="AI269" s="11" t="s">
        <v>255</v>
      </c>
      <c r="AJ269" s="40">
        <f t="shared" si="149"/>
        <v>0</v>
      </c>
      <c r="AK269" s="40">
        <f t="shared" si="150"/>
        <v>0</v>
      </c>
      <c r="AL269" s="40">
        <f t="shared" si="151"/>
        <v>0</v>
      </c>
      <c r="AN269" s="40">
        <v>21</v>
      </c>
      <c r="AO269" s="40">
        <f>I269*0.00882506527415144</f>
        <v>0</v>
      </c>
      <c r="AP269" s="40">
        <f>I269*(1-0.00882506527415144)</f>
        <v>0</v>
      </c>
      <c r="AQ269" s="17" t="s">
        <v>1260</v>
      </c>
      <c r="AV269" s="40">
        <f t="shared" si="152"/>
        <v>0</v>
      </c>
      <c r="AW269" s="40">
        <f t="shared" si="153"/>
        <v>0</v>
      </c>
      <c r="AX269" s="40">
        <f t="shared" si="154"/>
        <v>0</v>
      </c>
      <c r="AY269" s="17" t="s">
        <v>88</v>
      </c>
      <c r="AZ269" s="17" t="s">
        <v>881</v>
      </c>
      <c r="BA269" s="11" t="s">
        <v>921</v>
      </c>
      <c r="BC269" s="40">
        <f t="shared" si="155"/>
        <v>0</v>
      </c>
      <c r="BD269" s="40">
        <f t="shared" si="156"/>
        <v>0</v>
      </c>
      <c r="BE269" s="40">
        <v>0</v>
      </c>
      <c r="BF269" s="40">
        <f>269</f>
        <v>269</v>
      </c>
      <c r="BH269" s="40">
        <f t="shared" si="157"/>
        <v>0</v>
      </c>
      <c r="BI269" s="40">
        <f t="shared" si="158"/>
        <v>0</v>
      </c>
      <c r="BJ269" s="40">
        <f t="shared" si="159"/>
        <v>0</v>
      </c>
      <c r="BK269" s="40"/>
      <c r="BL269" s="40">
        <v>87</v>
      </c>
    </row>
    <row r="270" spans="1:64" ht="15" customHeight="1">
      <c r="A270" s="19" t="s">
        <v>1404</v>
      </c>
      <c r="B270" s="59" t="s">
        <v>210</v>
      </c>
      <c r="C270" s="76" t="s">
        <v>663</v>
      </c>
      <c r="D270" s="76"/>
      <c r="E270" s="76"/>
      <c r="F270" s="76"/>
      <c r="G270" s="59" t="s">
        <v>312</v>
      </c>
      <c r="H270" s="40">
        <v>43</v>
      </c>
      <c r="I270" s="40">
        <v>0</v>
      </c>
      <c r="J270" s="40">
        <f t="shared" si="138"/>
        <v>0</v>
      </c>
      <c r="K270" s="40">
        <f t="shared" si="139"/>
        <v>0</v>
      </c>
      <c r="L270" s="40">
        <f t="shared" si="140"/>
        <v>0</v>
      </c>
      <c r="M270" s="69" t="s">
        <v>868</v>
      </c>
      <c r="Z270" s="40">
        <f t="shared" si="141"/>
        <v>0</v>
      </c>
      <c r="AB270" s="40">
        <f t="shared" si="142"/>
        <v>0</v>
      </c>
      <c r="AC270" s="40">
        <f t="shared" si="143"/>
        <v>0</v>
      </c>
      <c r="AD270" s="40">
        <f t="shared" si="144"/>
        <v>0</v>
      </c>
      <c r="AE270" s="40">
        <f t="shared" si="145"/>
        <v>0</v>
      </c>
      <c r="AF270" s="40">
        <f t="shared" si="146"/>
        <v>0</v>
      </c>
      <c r="AG270" s="40">
        <f t="shared" si="147"/>
        <v>0</v>
      </c>
      <c r="AH270" s="40">
        <f t="shared" si="148"/>
        <v>0</v>
      </c>
      <c r="AI270" s="11" t="s">
        <v>255</v>
      </c>
      <c r="AJ270" s="40">
        <f t="shared" si="149"/>
        <v>0</v>
      </c>
      <c r="AK270" s="40">
        <f t="shared" si="150"/>
        <v>0</v>
      </c>
      <c r="AL270" s="40">
        <f t="shared" si="151"/>
        <v>0</v>
      </c>
      <c r="AN270" s="40">
        <v>21</v>
      </c>
      <c r="AO270" s="40">
        <f>I270*1</f>
        <v>0</v>
      </c>
      <c r="AP270" s="40">
        <f>I270*(1-1)</f>
        <v>0</v>
      </c>
      <c r="AQ270" s="17" t="s">
        <v>1260</v>
      </c>
      <c r="AV270" s="40">
        <f t="shared" si="152"/>
        <v>0</v>
      </c>
      <c r="AW270" s="40">
        <f t="shared" si="153"/>
        <v>0</v>
      </c>
      <c r="AX270" s="40">
        <f t="shared" si="154"/>
        <v>0</v>
      </c>
      <c r="AY270" s="17" t="s">
        <v>88</v>
      </c>
      <c r="AZ270" s="17" t="s">
        <v>881</v>
      </c>
      <c r="BA270" s="11" t="s">
        <v>921</v>
      </c>
      <c r="BC270" s="40">
        <f t="shared" si="155"/>
        <v>0</v>
      </c>
      <c r="BD270" s="40">
        <f t="shared" si="156"/>
        <v>0</v>
      </c>
      <c r="BE270" s="40">
        <v>0</v>
      </c>
      <c r="BF270" s="40">
        <f>270</f>
        <v>270</v>
      </c>
      <c r="BH270" s="40">
        <f t="shared" si="157"/>
        <v>0</v>
      </c>
      <c r="BI270" s="40">
        <f t="shared" si="158"/>
        <v>0</v>
      </c>
      <c r="BJ270" s="40">
        <f t="shared" si="159"/>
        <v>0</v>
      </c>
      <c r="BK270" s="40"/>
      <c r="BL270" s="40">
        <v>87</v>
      </c>
    </row>
    <row r="271" spans="1:64" ht="15" customHeight="1">
      <c r="A271" s="19" t="s">
        <v>723</v>
      </c>
      <c r="B271" s="59" t="s">
        <v>674</v>
      </c>
      <c r="C271" s="76" t="s">
        <v>848</v>
      </c>
      <c r="D271" s="76"/>
      <c r="E271" s="76"/>
      <c r="F271" s="76"/>
      <c r="G271" s="59" t="s">
        <v>1041</v>
      </c>
      <c r="H271" s="40">
        <v>6</v>
      </c>
      <c r="I271" s="40">
        <v>0</v>
      </c>
      <c r="J271" s="40">
        <f t="shared" si="138"/>
        <v>0</v>
      </c>
      <c r="K271" s="40">
        <f t="shared" si="139"/>
        <v>0</v>
      </c>
      <c r="L271" s="40">
        <f t="shared" si="140"/>
        <v>0</v>
      </c>
      <c r="M271" s="69" t="s">
        <v>868</v>
      </c>
      <c r="Z271" s="40">
        <f t="shared" si="141"/>
        <v>0</v>
      </c>
      <c r="AB271" s="40">
        <f t="shared" si="142"/>
        <v>0</v>
      </c>
      <c r="AC271" s="40">
        <f t="shared" si="143"/>
        <v>0</v>
      </c>
      <c r="AD271" s="40">
        <f t="shared" si="144"/>
        <v>0</v>
      </c>
      <c r="AE271" s="40">
        <f t="shared" si="145"/>
        <v>0</v>
      </c>
      <c r="AF271" s="40">
        <f t="shared" si="146"/>
        <v>0</v>
      </c>
      <c r="AG271" s="40">
        <f t="shared" si="147"/>
        <v>0</v>
      </c>
      <c r="AH271" s="40">
        <f t="shared" si="148"/>
        <v>0</v>
      </c>
      <c r="AI271" s="11" t="s">
        <v>255</v>
      </c>
      <c r="AJ271" s="40">
        <f t="shared" si="149"/>
        <v>0</v>
      </c>
      <c r="AK271" s="40">
        <f t="shared" si="150"/>
        <v>0</v>
      </c>
      <c r="AL271" s="40">
        <f t="shared" si="151"/>
        <v>0</v>
      </c>
      <c r="AN271" s="40">
        <v>21</v>
      </c>
      <c r="AO271" s="40">
        <f>I271*0.006</f>
        <v>0</v>
      </c>
      <c r="AP271" s="40">
        <f>I271*(1-0.006)</f>
        <v>0</v>
      </c>
      <c r="AQ271" s="17" t="s">
        <v>1260</v>
      </c>
      <c r="AV271" s="40">
        <f t="shared" si="152"/>
        <v>0</v>
      </c>
      <c r="AW271" s="40">
        <f t="shared" si="153"/>
        <v>0</v>
      </c>
      <c r="AX271" s="40">
        <f t="shared" si="154"/>
        <v>0</v>
      </c>
      <c r="AY271" s="17" t="s">
        <v>88</v>
      </c>
      <c r="AZ271" s="17" t="s">
        <v>881</v>
      </c>
      <c r="BA271" s="11" t="s">
        <v>921</v>
      </c>
      <c r="BC271" s="40">
        <f t="shared" si="155"/>
        <v>0</v>
      </c>
      <c r="BD271" s="40">
        <f t="shared" si="156"/>
        <v>0</v>
      </c>
      <c r="BE271" s="40">
        <v>0</v>
      </c>
      <c r="BF271" s="40">
        <f>271</f>
        <v>271</v>
      </c>
      <c r="BH271" s="40">
        <f t="shared" si="157"/>
        <v>0</v>
      </c>
      <c r="BI271" s="40">
        <f t="shared" si="158"/>
        <v>0</v>
      </c>
      <c r="BJ271" s="40">
        <f t="shared" si="159"/>
        <v>0</v>
      </c>
      <c r="BK271" s="40"/>
      <c r="BL271" s="40">
        <v>87</v>
      </c>
    </row>
    <row r="272" spans="1:64" ht="15" customHeight="1">
      <c r="A272" s="19" t="s">
        <v>310</v>
      </c>
      <c r="B272" s="59" t="s">
        <v>607</v>
      </c>
      <c r="C272" s="76" t="s">
        <v>1114</v>
      </c>
      <c r="D272" s="76"/>
      <c r="E272" s="76"/>
      <c r="F272" s="76"/>
      <c r="G272" s="59" t="s">
        <v>312</v>
      </c>
      <c r="H272" s="40">
        <v>1</v>
      </c>
      <c r="I272" s="40">
        <v>0</v>
      </c>
      <c r="J272" s="40">
        <f t="shared" si="138"/>
        <v>0</v>
      </c>
      <c r="K272" s="40">
        <f t="shared" si="139"/>
        <v>0</v>
      </c>
      <c r="L272" s="40">
        <f t="shared" si="140"/>
        <v>0</v>
      </c>
      <c r="M272" s="69" t="s">
        <v>868</v>
      </c>
      <c r="Z272" s="40">
        <f t="shared" si="141"/>
        <v>0</v>
      </c>
      <c r="AB272" s="40">
        <f t="shared" si="142"/>
        <v>0</v>
      </c>
      <c r="AC272" s="40">
        <f t="shared" si="143"/>
        <v>0</v>
      </c>
      <c r="AD272" s="40">
        <f t="shared" si="144"/>
        <v>0</v>
      </c>
      <c r="AE272" s="40">
        <f t="shared" si="145"/>
        <v>0</v>
      </c>
      <c r="AF272" s="40">
        <f t="shared" si="146"/>
        <v>0</v>
      </c>
      <c r="AG272" s="40">
        <f t="shared" si="147"/>
        <v>0</v>
      </c>
      <c r="AH272" s="40">
        <f t="shared" si="148"/>
        <v>0</v>
      </c>
      <c r="AI272" s="11" t="s">
        <v>255</v>
      </c>
      <c r="AJ272" s="40">
        <f t="shared" si="149"/>
        <v>0</v>
      </c>
      <c r="AK272" s="40">
        <f t="shared" si="150"/>
        <v>0</v>
      </c>
      <c r="AL272" s="40">
        <f t="shared" si="151"/>
        <v>0</v>
      </c>
      <c r="AN272" s="40">
        <v>21</v>
      </c>
      <c r="AO272" s="40">
        <f>I272*1</f>
        <v>0</v>
      </c>
      <c r="AP272" s="40">
        <f>I272*(1-1)</f>
        <v>0</v>
      </c>
      <c r="AQ272" s="17" t="s">
        <v>1260</v>
      </c>
      <c r="AV272" s="40">
        <f t="shared" si="152"/>
        <v>0</v>
      </c>
      <c r="AW272" s="40">
        <f t="shared" si="153"/>
        <v>0</v>
      </c>
      <c r="AX272" s="40">
        <f t="shared" si="154"/>
        <v>0</v>
      </c>
      <c r="AY272" s="17" t="s">
        <v>88</v>
      </c>
      <c r="AZ272" s="17" t="s">
        <v>881</v>
      </c>
      <c r="BA272" s="11" t="s">
        <v>921</v>
      </c>
      <c r="BC272" s="40">
        <f t="shared" si="155"/>
        <v>0</v>
      </c>
      <c r="BD272" s="40">
        <f t="shared" si="156"/>
        <v>0</v>
      </c>
      <c r="BE272" s="40">
        <v>0</v>
      </c>
      <c r="BF272" s="40">
        <f>272</f>
        <v>272</v>
      </c>
      <c r="BH272" s="40">
        <f t="shared" si="157"/>
        <v>0</v>
      </c>
      <c r="BI272" s="40">
        <f t="shared" si="158"/>
        <v>0</v>
      </c>
      <c r="BJ272" s="40">
        <f t="shared" si="159"/>
        <v>0</v>
      </c>
      <c r="BK272" s="40"/>
      <c r="BL272" s="40">
        <v>87</v>
      </c>
    </row>
    <row r="273" spans="1:47" ht="15" customHeight="1">
      <c r="A273" s="24" t="s">
        <v>878</v>
      </c>
      <c r="B273" s="66" t="s">
        <v>1338</v>
      </c>
      <c r="C273" s="92" t="s">
        <v>823</v>
      </c>
      <c r="D273" s="92"/>
      <c r="E273" s="92"/>
      <c r="F273" s="92"/>
      <c r="G273" s="3" t="s">
        <v>1172</v>
      </c>
      <c r="H273" s="3" t="s">
        <v>1172</v>
      </c>
      <c r="I273" s="3" t="s">
        <v>1172</v>
      </c>
      <c r="J273" s="63">
        <f>SUM(J274:J301)</f>
        <v>0</v>
      </c>
      <c r="K273" s="63">
        <f>SUM(K274:K301)</f>
        <v>0</v>
      </c>
      <c r="L273" s="63">
        <f>SUM(L274:L301)</f>
        <v>0</v>
      </c>
      <c r="M273" s="4" t="s">
        <v>878</v>
      </c>
      <c r="AI273" s="11" t="s">
        <v>255</v>
      </c>
      <c r="AS273" s="63">
        <f>SUM(AJ274:AJ301)</f>
        <v>0</v>
      </c>
      <c r="AT273" s="63">
        <f>SUM(AK274:AK301)</f>
        <v>0</v>
      </c>
      <c r="AU273" s="63">
        <f>SUM(AL274:AL301)</f>
        <v>0</v>
      </c>
    </row>
    <row r="274" spans="1:64" ht="15" customHeight="1">
      <c r="A274" s="19" t="s">
        <v>964</v>
      </c>
      <c r="B274" s="59" t="s">
        <v>192</v>
      </c>
      <c r="C274" s="76" t="s">
        <v>464</v>
      </c>
      <c r="D274" s="76"/>
      <c r="E274" s="76"/>
      <c r="F274" s="76"/>
      <c r="G274" s="59" t="s">
        <v>1041</v>
      </c>
      <c r="H274" s="40">
        <v>1265.11</v>
      </c>
      <c r="I274" s="40">
        <v>0</v>
      </c>
      <c r="J274" s="40">
        <f aca="true" t="shared" si="160" ref="J274:J301">H274*AO274</f>
        <v>0</v>
      </c>
      <c r="K274" s="40">
        <f aca="true" t="shared" si="161" ref="K274:K301">H274*AP274</f>
        <v>0</v>
      </c>
      <c r="L274" s="40">
        <f aca="true" t="shared" si="162" ref="L274:L301">H274*I274</f>
        <v>0</v>
      </c>
      <c r="M274" s="69" t="s">
        <v>868</v>
      </c>
      <c r="Z274" s="40">
        <f aca="true" t="shared" si="163" ref="Z274:Z301">IF(AQ274="5",BJ274,0)</f>
        <v>0</v>
      </c>
      <c r="AB274" s="40">
        <f aca="true" t="shared" si="164" ref="AB274:AB301">IF(AQ274="1",BH274,0)</f>
        <v>0</v>
      </c>
      <c r="AC274" s="40">
        <f aca="true" t="shared" si="165" ref="AC274:AC301">IF(AQ274="1",BI274,0)</f>
        <v>0</v>
      </c>
      <c r="AD274" s="40">
        <f aca="true" t="shared" si="166" ref="AD274:AD301">IF(AQ274="7",BH274,0)</f>
        <v>0</v>
      </c>
      <c r="AE274" s="40">
        <f aca="true" t="shared" si="167" ref="AE274:AE301">IF(AQ274="7",BI274,0)</f>
        <v>0</v>
      </c>
      <c r="AF274" s="40">
        <f aca="true" t="shared" si="168" ref="AF274:AF301">IF(AQ274="2",BH274,0)</f>
        <v>0</v>
      </c>
      <c r="AG274" s="40">
        <f aca="true" t="shared" si="169" ref="AG274:AG301">IF(AQ274="2",BI274,0)</f>
        <v>0</v>
      </c>
      <c r="AH274" s="40">
        <f aca="true" t="shared" si="170" ref="AH274:AH301">IF(AQ274="0",BJ274,0)</f>
        <v>0</v>
      </c>
      <c r="AI274" s="11" t="s">
        <v>255</v>
      </c>
      <c r="AJ274" s="40">
        <f aca="true" t="shared" si="171" ref="AJ274:AJ301">IF(AN274=0,L274,0)</f>
        <v>0</v>
      </c>
      <c r="AK274" s="40">
        <f aca="true" t="shared" si="172" ref="AK274:AK301">IF(AN274=15,L274,0)</f>
        <v>0</v>
      </c>
      <c r="AL274" s="40">
        <f aca="true" t="shared" si="173" ref="AL274:AL301">IF(AN274=21,L274,0)</f>
        <v>0</v>
      </c>
      <c r="AN274" s="40">
        <v>21</v>
      </c>
      <c r="AO274" s="40">
        <f>I274*0.322424165194363</f>
        <v>0</v>
      </c>
      <c r="AP274" s="40">
        <f>I274*(1-0.322424165194363)</f>
        <v>0</v>
      </c>
      <c r="AQ274" s="17" t="s">
        <v>1260</v>
      </c>
      <c r="AV274" s="40">
        <f aca="true" t="shared" si="174" ref="AV274:AV301">AW274+AX274</f>
        <v>0</v>
      </c>
      <c r="AW274" s="40">
        <f aca="true" t="shared" si="175" ref="AW274:AW301">H274*AO274</f>
        <v>0</v>
      </c>
      <c r="AX274" s="40">
        <f aca="true" t="shared" si="176" ref="AX274:AX301">H274*AP274</f>
        <v>0</v>
      </c>
      <c r="AY274" s="17" t="s">
        <v>106</v>
      </c>
      <c r="AZ274" s="17" t="s">
        <v>881</v>
      </c>
      <c r="BA274" s="11" t="s">
        <v>921</v>
      </c>
      <c r="BC274" s="40">
        <f aca="true" t="shared" si="177" ref="BC274:BC301">AW274+AX274</f>
        <v>0</v>
      </c>
      <c r="BD274" s="40">
        <f aca="true" t="shared" si="178" ref="BD274:BD301">I274/(100-BE274)*100</f>
        <v>0</v>
      </c>
      <c r="BE274" s="40">
        <v>0</v>
      </c>
      <c r="BF274" s="40">
        <f>274</f>
        <v>274</v>
      </c>
      <c r="BH274" s="40">
        <f aca="true" t="shared" si="179" ref="BH274:BH301">H274*AO274</f>
        <v>0</v>
      </c>
      <c r="BI274" s="40">
        <f aca="true" t="shared" si="180" ref="BI274:BI301">H274*AP274</f>
        <v>0</v>
      </c>
      <c r="BJ274" s="40">
        <f aca="true" t="shared" si="181" ref="BJ274:BJ301">H274*I274</f>
        <v>0</v>
      </c>
      <c r="BK274" s="40"/>
      <c r="BL274" s="40">
        <v>89</v>
      </c>
    </row>
    <row r="275" spans="1:64" ht="15" customHeight="1">
      <c r="A275" s="19" t="s">
        <v>621</v>
      </c>
      <c r="B275" s="59" t="s">
        <v>386</v>
      </c>
      <c r="C275" s="76" t="s">
        <v>324</v>
      </c>
      <c r="D275" s="76"/>
      <c r="E275" s="76"/>
      <c r="F275" s="76"/>
      <c r="G275" s="59" t="s">
        <v>1041</v>
      </c>
      <c r="H275" s="40">
        <v>464</v>
      </c>
      <c r="I275" s="40">
        <v>0</v>
      </c>
      <c r="J275" s="40">
        <f t="shared" si="160"/>
        <v>0</v>
      </c>
      <c r="K275" s="40">
        <f t="shared" si="161"/>
        <v>0</v>
      </c>
      <c r="L275" s="40">
        <f t="shared" si="162"/>
        <v>0</v>
      </c>
      <c r="M275" s="69" t="s">
        <v>868</v>
      </c>
      <c r="Z275" s="40">
        <f t="shared" si="163"/>
        <v>0</v>
      </c>
      <c r="AB275" s="40">
        <f t="shared" si="164"/>
        <v>0</v>
      </c>
      <c r="AC275" s="40">
        <f t="shared" si="165"/>
        <v>0</v>
      </c>
      <c r="AD275" s="40">
        <f t="shared" si="166"/>
        <v>0</v>
      </c>
      <c r="AE275" s="40">
        <f t="shared" si="167"/>
        <v>0</v>
      </c>
      <c r="AF275" s="40">
        <f t="shared" si="168"/>
        <v>0</v>
      </c>
      <c r="AG275" s="40">
        <f t="shared" si="169"/>
        <v>0</v>
      </c>
      <c r="AH275" s="40">
        <f t="shared" si="170"/>
        <v>0</v>
      </c>
      <c r="AI275" s="11" t="s">
        <v>255</v>
      </c>
      <c r="AJ275" s="40">
        <f t="shared" si="171"/>
        <v>0</v>
      </c>
      <c r="AK275" s="40">
        <f t="shared" si="172"/>
        <v>0</v>
      </c>
      <c r="AL275" s="40">
        <f t="shared" si="173"/>
        <v>0</v>
      </c>
      <c r="AN275" s="40">
        <v>21</v>
      </c>
      <c r="AO275" s="40">
        <f>I275*0</f>
        <v>0</v>
      </c>
      <c r="AP275" s="40">
        <f>I275*(1-0)</f>
        <v>0</v>
      </c>
      <c r="AQ275" s="17" t="s">
        <v>1260</v>
      </c>
      <c r="AV275" s="40">
        <f t="shared" si="174"/>
        <v>0</v>
      </c>
      <c r="AW275" s="40">
        <f t="shared" si="175"/>
        <v>0</v>
      </c>
      <c r="AX275" s="40">
        <f t="shared" si="176"/>
        <v>0</v>
      </c>
      <c r="AY275" s="17" t="s">
        <v>106</v>
      </c>
      <c r="AZ275" s="17" t="s">
        <v>881</v>
      </c>
      <c r="BA275" s="11" t="s">
        <v>921</v>
      </c>
      <c r="BC275" s="40">
        <f t="shared" si="177"/>
        <v>0</v>
      </c>
      <c r="BD275" s="40">
        <f t="shared" si="178"/>
        <v>0</v>
      </c>
      <c r="BE275" s="40">
        <v>0</v>
      </c>
      <c r="BF275" s="40">
        <f>275</f>
        <v>275</v>
      </c>
      <c r="BH275" s="40">
        <f t="shared" si="179"/>
        <v>0</v>
      </c>
      <c r="BI275" s="40">
        <f t="shared" si="180"/>
        <v>0</v>
      </c>
      <c r="BJ275" s="40">
        <f t="shared" si="181"/>
        <v>0</v>
      </c>
      <c r="BK275" s="40"/>
      <c r="BL275" s="40">
        <v>89</v>
      </c>
    </row>
    <row r="276" spans="1:64" ht="15" customHeight="1">
      <c r="A276" s="19" t="s">
        <v>14</v>
      </c>
      <c r="B276" s="59" t="s">
        <v>661</v>
      </c>
      <c r="C276" s="76" t="s">
        <v>1071</v>
      </c>
      <c r="D276" s="76"/>
      <c r="E276" s="76"/>
      <c r="F276" s="76"/>
      <c r="G276" s="59" t="s">
        <v>312</v>
      </c>
      <c r="H276" s="40">
        <v>10</v>
      </c>
      <c r="I276" s="40">
        <v>0</v>
      </c>
      <c r="J276" s="40">
        <f t="shared" si="160"/>
        <v>0</v>
      </c>
      <c r="K276" s="40">
        <f t="shared" si="161"/>
        <v>0</v>
      </c>
      <c r="L276" s="40">
        <f t="shared" si="162"/>
        <v>0</v>
      </c>
      <c r="M276" s="69" t="s">
        <v>868</v>
      </c>
      <c r="Z276" s="40">
        <f t="shared" si="163"/>
        <v>0</v>
      </c>
      <c r="AB276" s="40">
        <f t="shared" si="164"/>
        <v>0</v>
      </c>
      <c r="AC276" s="40">
        <f t="shared" si="165"/>
        <v>0</v>
      </c>
      <c r="AD276" s="40">
        <f t="shared" si="166"/>
        <v>0</v>
      </c>
      <c r="AE276" s="40">
        <f t="shared" si="167"/>
        <v>0</v>
      </c>
      <c r="AF276" s="40">
        <f t="shared" si="168"/>
        <v>0</v>
      </c>
      <c r="AG276" s="40">
        <f t="shared" si="169"/>
        <v>0</v>
      </c>
      <c r="AH276" s="40">
        <f t="shared" si="170"/>
        <v>0</v>
      </c>
      <c r="AI276" s="11" t="s">
        <v>255</v>
      </c>
      <c r="AJ276" s="40">
        <f t="shared" si="171"/>
        <v>0</v>
      </c>
      <c r="AK276" s="40">
        <f t="shared" si="172"/>
        <v>0</v>
      </c>
      <c r="AL276" s="40">
        <f t="shared" si="173"/>
        <v>0</v>
      </c>
      <c r="AN276" s="40">
        <v>21</v>
      </c>
      <c r="AO276" s="40">
        <f>I276*0</f>
        <v>0</v>
      </c>
      <c r="AP276" s="40">
        <f>I276*(1-0)</f>
        <v>0</v>
      </c>
      <c r="AQ276" s="17" t="s">
        <v>1260</v>
      </c>
      <c r="AV276" s="40">
        <f t="shared" si="174"/>
        <v>0</v>
      </c>
      <c r="AW276" s="40">
        <f t="shared" si="175"/>
        <v>0</v>
      </c>
      <c r="AX276" s="40">
        <f t="shared" si="176"/>
        <v>0</v>
      </c>
      <c r="AY276" s="17" t="s">
        <v>106</v>
      </c>
      <c r="AZ276" s="17" t="s">
        <v>881</v>
      </c>
      <c r="BA276" s="11" t="s">
        <v>921</v>
      </c>
      <c r="BC276" s="40">
        <f t="shared" si="177"/>
        <v>0</v>
      </c>
      <c r="BD276" s="40">
        <f t="shared" si="178"/>
        <v>0</v>
      </c>
      <c r="BE276" s="40">
        <v>0</v>
      </c>
      <c r="BF276" s="40">
        <f>276</f>
        <v>276</v>
      </c>
      <c r="BH276" s="40">
        <f t="shared" si="179"/>
        <v>0</v>
      </c>
      <c r="BI276" s="40">
        <f t="shared" si="180"/>
        <v>0</v>
      </c>
      <c r="BJ276" s="40">
        <f t="shared" si="181"/>
        <v>0</v>
      </c>
      <c r="BK276" s="40"/>
      <c r="BL276" s="40">
        <v>89</v>
      </c>
    </row>
    <row r="277" spans="1:64" ht="15" customHeight="1">
      <c r="A277" s="19" t="s">
        <v>503</v>
      </c>
      <c r="B277" s="59" t="s">
        <v>900</v>
      </c>
      <c r="C277" s="76" t="s">
        <v>1272</v>
      </c>
      <c r="D277" s="76"/>
      <c r="E277" s="76"/>
      <c r="F277" s="76"/>
      <c r="G277" s="59" t="s">
        <v>312</v>
      </c>
      <c r="H277" s="40">
        <v>4</v>
      </c>
      <c r="I277" s="40">
        <v>0</v>
      </c>
      <c r="J277" s="40">
        <f t="shared" si="160"/>
        <v>0</v>
      </c>
      <c r="K277" s="40">
        <f t="shared" si="161"/>
        <v>0</v>
      </c>
      <c r="L277" s="40">
        <f t="shared" si="162"/>
        <v>0</v>
      </c>
      <c r="M277" s="69" t="s">
        <v>868</v>
      </c>
      <c r="Z277" s="40">
        <f t="shared" si="163"/>
        <v>0</v>
      </c>
      <c r="AB277" s="40">
        <f t="shared" si="164"/>
        <v>0</v>
      </c>
      <c r="AC277" s="40">
        <f t="shared" si="165"/>
        <v>0</v>
      </c>
      <c r="AD277" s="40">
        <f t="shared" si="166"/>
        <v>0</v>
      </c>
      <c r="AE277" s="40">
        <f t="shared" si="167"/>
        <v>0</v>
      </c>
      <c r="AF277" s="40">
        <f t="shared" si="168"/>
        <v>0</v>
      </c>
      <c r="AG277" s="40">
        <f t="shared" si="169"/>
        <v>0</v>
      </c>
      <c r="AH277" s="40">
        <f t="shared" si="170"/>
        <v>0</v>
      </c>
      <c r="AI277" s="11" t="s">
        <v>255</v>
      </c>
      <c r="AJ277" s="40">
        <f t="shared" si="171"/>
        <v>0</v>
      </c>
      <c r="AK277" s="40">
        <f t="shared" si="172"/>
        <v>0</v>
      </c>
      <c r="AL277" s="40">
        <f t="shared" si="173"/>
        <v>0</v>
      </c>
      <c r="AN277" s="40">
        <v>21</v>
      </c>
      <c r="AO277" s="40">
        <f>I277*1</f>
        <v>0</v>
      </c>
      <c r="AP277" s="40">
        <f>I277*(1-1)</f>
        <v>0</v>
      </c>
      <c r="AQ277" s="17" t="s">
        <v>1260</v>
      </c>
      <c r="AV277" s="40">
        <f t="shared" si="174"/>
        <v>0</v>
      </c>
      <c r="AW277" s="40">
        <f t="shared" si="175"/>
        <v>0</v>
      </c>
      <c r="AX277" s="40">
        <f t="shared" si="176"/>
        <v>0</v>
      </c>
      <c r="AY277" s="17" t="s">
        <v>106</v>
      </c>
      <c r="AZ277" s="17" t="s">
        <v>881</v>
      </c>
      <c r="BA277" s="11" t="s">
        <v>921</v>
      </c>
      <c r="BC277" s="40">
        <f t="shared" si="177"/>
        <v>0</v>
      </c>
      <c r="BD277" s="40">
        <f t="shared" si="178"/>
        <v>0</v>
      </c>
      <c r="BE277" s="40">
        <v>0</v>
      </c>
      <c r="BF277" s="40">
        <f>277</f>
        <v>277</v>
      </c>
      <c r="BH277" s="40">
        <f t="shared" si="179"/>
        <v>0</v>
      </c>
      <c r="BI277" s="40">
        <f t="shared" si="180"/>
        <v>0</v>
      </c>
      <c r="BJ277" s="40">
        <f t="shared" si="181"/>
        <v>0</v>
      </c>
      <c r="BK277" s="40"/>
      <c r="BL277" s="40">
        <v>89</v>
      </c>
    </row>
    <row r="278" spans="1:64" ht="15" customHeight="1">
      <c r="A278" s="19" t="s">
        <v>411</v>
      </c>
      <c r="B278" s="59" t="s">
        <v>125</v>
      </c>
      <c r="C278" s="76" t="s">
        <v>415</v>
      </c>
      <c r="D278" s="76"/>
      <c r="E278" s="76"/>
      <c r="F278" s="76"/>
      <c r="G278" s="59" t="s">
        <v>312</v>
      </c>
      <c r="H278" s="40">
        <v>6</v>
      </c>
      <c r="I278" s="40">
        <v>0</v>
      </c>
      <c r="J278" s="40">
        <f t="shared" si="160"/>
        <v>0</v>
      </c>
      <c r="K278" s="40">
        <f t="shared" si="161"/>
        <v>0</v>
      </c>
      <c r="L278" s="40">
        <f t="shared" si="162"/>
        <v>0</v>
      </c>
      <c r="M278" s="69" t="s">
        <v>868</v>
      </c>
      <c r="Z278" s="40">
        <f t="shared" si="163"/>
        <v>0</v>
      </c>
      <c r="AB278" s="40">
        <f t="shared" si="164"/>
        <v>0</v>
      </c>
      <c r="AC278" s="40">
        <f t="shared" si="165"/>
        <v>0</v>
      </c>
      <c r="AD278" s="40">
        <f t="shared" si="166"/>
        <v>0</v>
      </c>
      <c r="AE278" s="40">
        <f t="shared" si="167"/>
        <v>0</v>
      </c>
      <c r="AF278" s="40">
        <f t="shared" si="168"/>
        <v>0</v>
      </c>
      <c r="AG278" s="40">
        <f t="shared" si="169"/>
        <v>0</v>
      </c>
      <c r="AH278" s="40">
        <f t="shared" si="170"/>
        <v>0</v>
      </c>
      <c r="AI278" s="11" t="s">
        <v>255</v>
      </c>
      <c r="AJ278" s="40">
        <f t="shared" si="171"/>
        <v>0</v>
      </c>
      <c r="AK278" s="40">
        <f t="shared" si="172"/>
        <v>0</v>
      </c>
      <c r="AL278" s="40">
        <f t="shared" si="173"/>
        <v>0</v>
      </c>
      <c r="AN278" s="40">
        <v>21</v>
      </c>
      <c r="AO278" s="40">
        <f>I278*1</f>
        <v>0</v>
      </c>
      <c r="AP278" s="40">
        <f>I278*(1-1)</f>
        <v>0</v>
      </c>
      <c r="AQ278" s="17" t="s">
        <v>1260</v>
      </c>
      <c r="AV278" s="40">
        <f t="shared" si="174"/>
        <v>0</v>
      </c>
      <c r="AW278" s="40">
        <f t="shared" si="175"/>
        <v>0</v>
      </c>
      <c r="AX278" s="40">
        <f t="shared" si="176"/>
        <v>0</v>
      </c>
      <c r="AY278" s="17" t="s">
        <v>106</v>
      </c>
      <c r="AZ278" s="17" t="s">
        <v>881</v>
      </c>
      <c r="BA278" s="11" t="s">
        <v>921</v>
      </c>
      <c r="BC278" s="40">
        <f t="shared" si="177"/>
        <v>0</v>
      </c>
      <c r="BD278" s="40">
        <f t="shared" si="178"/>
        <v>0</v>
      </c>
      <c r="BE278" s="40">
        <v>0</v>
      </c>
      <c r="BF278" s="40">
        <f>278</f>
        <v>278</v>
      </c>
      <c r="BH278" s="40">
        <f t="shared" si="179"/>
        <v>0</v>
      </c>
      <c r="BI278" s="40">
        <f t="shared" si="180"/>
        <v>0</v>
      </c>
      <c r="BJ278" s="40">
        <f t="shared" si="181"/>
        <v>0</v>
      </c>
      <c r="BK278" s="40"/>
      <c r="BL278" s="40">
        <v>89</v>
      </c>
    </row>
    <row r="279" spans="1:64" ht="15" customHeight="1">
      <c r="A279" s="19" t="s">
        <v>1325</v>
      </c>
      <c r="B279" s="59" t="s">
        <v>568</v>
      </c>
      <c r="C279" s="76" t="s">
        <v>208</v>
      </c>
      <c r="D279" s="76"/>
      <c r="E279" s="76"/>
      <c r="F279" s="76"/>
      <c r="G279" s="59" t="s">
        <v>312</v>
      </c>
      <c r="H279" s="40">
        <v>6</v>
      </c>
      <c r="I279" s="40">
        <v>0</v>
      </c>
      <c r="J279" s="40">
        <f t="shared" si="160"/>
        <v>0</v>
      </c>
      <c r="K279" s="40">
        <f t="shared" si="161"/>
        <v>0</v>
      </c>
      <c r="L279" s="40">
        <f t="shared" si="162"/>
        <v>0</v>
      </c>
      <c r="M279" s="69" t="s">
        <v>868</v>
      </c>
      <c r="Z279" s="40">
        <f t="shared" si="163"/>
        <v>0</v>
      </c>
      <c r="AB279" s="40">
        <f t="shared" si="164"/>
        <v>0</v>
      </c>
      <c r="AC279" s="40">
        <f t="shared" si="165"/>
        <v>0</v>
      </c>
      <c r="AD279" s="40">
        <f t="shared" si="166"/>
        <v>0</v>
      </c>
      <c r="AE279" s="40">
        <f t="shared" si="167"/>
        <v>0</v>
      </c>
      <c r="AF279" s="40">
        <f t="shared" si="168"/>
        <v>0</v>
      </c>
      <c r="AG279" s="40">
        <f t="shared" si="169"/>
        <v>0</v>
      </c>
      <c r="AH279" s="40">
        <f t="shared" si="170"/>
        <v>0</v>
      </c>
      <c r="AI279" s="11" t="s">
        <v>255</v>
      </c>
      <c r="AJ279" s="40">
        <f t="shared" si="171"/>
        <v>0</v>
      </c>
      <c r="AK279" s="40">
        <f t="shared" si="172"/>
        <v>0</v>
      </c>
      <c r="AL279" s="40">
        <f t="shared" si="173"/>
        <v>0</v>
      </c>
      <c r="AN279" s="40">
        <v>21</v>
      </c>
      <c r="AO279" s="40">
        <f>I279*0</f>
        <v>0</v>
      </c>
      <c r="AP279" s="40">
        <f>I279*(1-0)</f>
        <v>0</v>
      </c>
      <c r="AQ279" s="17" t="s">
        <v>1260</v>
      </c>
      <c r="AV279" s="40">
        <f t="shared" si="174"/>
        <v>0</v>
      </c>
      <c r="AW279" s="40">
        <f t="shared" si="175"/>
        <v>0</v>
      </c>
      <c r="AX279" s="40">
        <f t="shared" si="176"/>
        <v>0</v>
      </c>
      <c r="AY279" s="17" t="s">
        <v>106</v>
      </c>
      <c r="AZ279" s="17" t="s">
        <v>881</v>
      </c>
      <c r="BA279" s="11" t="s">
        <v>921</v>
      </c>
      <c r="BC279" s="40">
        <f t="shared" si="177"/>
        <v>0</v>
      </c>
      <c r="BD279" s="40">
        <f t="shared" si="178"/>
        <v>0</v>
      </c>
      <c r="BE279" s="40">
        <v>0</v>
      </c>
      <c r="BF279" s="40">
        <f>279</f>
        <v>279</v>
      </c>
      <c r="BH279" s="40">
        <f t="shared" si="179"/>
        <v>0</v>
      </c>
      <c r="BI279" s="40">
        <f t="shared" si="180"/>
        <v>0</v>
      </c>
      <c r="BJ279" s="40">
        <f t="shared" si="181"/>
        <v>0</v>
      </c>
      <c r="BK279" s="40"/>
      <c r="BL279" s="40">
        <v>89</v>
      </c>
    </row>
    <row r="280" spans="1:64" ht="15" customHeight="1">
      <c r="A280" s="19" t="s">
        <v>716</v>
      </c>
      <c r="B280" s="59" t="s">
        <v>172</v>
      </c>
      <c r="C280" s="76" t="s">
        <v>138</v>
      </c>
      <c r="D280" s="76"/>
      <c r="E280" s="76"/>
      <c r="F280" s="76"/>
      <c r="G280" s="59" t="s">
        <v>312</v>
      </c>
      <c r="H280" s="40">
        <v>6</v>
      </c>
      <c r="I280" s="40">
        <v>0</v>
      </c>
      <c r="J280" s="40">
        <f t="shared" si="160"/>
        <v>0</v>
      </c>
      <c r="K280" s="40">
        <f t="shared" si="161"/>
        <v>0</v>
      </c>
      <c r="L280" s="40">
        <f t="shared" si="162"/>
        <v>0</v>
      </c>
      <c r="M280" s="69" t="s">
        <v>868</v>
      </c>
      <c r="Z280" s="40">
        <f t="shared" si="163"/>
        <v>0</v>
      </c>
      <c r="AB280" s="40">
        <f t="shared" si="164"/>
        <v>0</v>
      </c>
      <c r="AC280" s="40">
        <f t="shared" si="165"/>
        <v>0</v>
      </c>
      <c r="AD280" s="40">
        <f t="shared" si="166"/>
        <v>0</v>
      </c>
      <c r="AE280" s="40">
        <f t="shared" si="167"/>
        <v>0</v>
      </c>
      <c r="AF280" s="40">
        <f t="shared" si="168"/>
        <v>0</v>
      </c>
      <c r="AG280" s="40">
        <f t="shared" si="169"/>
        <v>0</v>
      </c>
      <c r="AH280" s="40">
        <f t="shared" si="170"/>
        <v>0</v>
      </c>
      <c r="AI280" s="11" t="s">
        <v>255</v>
      </c>
      <c r="AJ280" s="40">
        <f t="shared" si="171"/>
        <v>0</v>
      </c>
      <c r="AK280" s="40">
        <f t="shared" si="172"/>
        <v>0</v>
      </c>
      <c r="AL280" s="40">
        <f t="shared" si="173"/>
        <v>0</v>
      </c>
      <c r="AN280" s="40">
        <v>21</v>
      </c>
      <c r="AO280" s="40">
        <f>I280*1</f>
        <v>0</v>
      </c>
      <c r="AP280" s="40">
        <f>I280*(1-1)</f>
        <v>0</v>
      </c>
      <c r="AQ280" s="17" t="s">
        <v>1260</v>
      </c>
      <c r="AV280" s="40">
        <f t="shared" si="174"/>
        <v>0</v>
      </c>
      <c r="AW280" s="40">
        <f t="shared" si="175"/>
        <v>0</v>
      </c>
      <c r="AX280" s="40">
        <f t="shared" si="176"/>
        <v>0</v>
      </c>
      <c r="AY280" s="17" t="s">
        <v>106</v>
      </c>
      <c r="AZ280" s="17" t="s">
        <v>881</v>
      </c>
      <c r="BA280" s="11" t="s">
        <v>921</v>
      </c>
      <c r="BC280" s="40">
        <f t="shared" si="177"/>
        <v>0</v>
      </c>
      <c r="BD280" s="40">
        <f t="shared" si="178"/>
        <v>0</v>
      </c>
      <c r="BE280" s="40">
        <v>0</v>
      </c>
      <c r="BF280" s="40">
        <f>280</f>
        <v>280</v>
      </c>
      <c r="BH280" s="40">
        <f t="shared" si="179"/>
        <v>0</v>
      </c>
      <c r="BI280" s="40">
        <f t="shared" si="180"/>
        <v>0</v>
      </c>
      <c r="BJ280" s="40">
        <f t="shared" si="181"/>
        <v>0</v>
      </c>
      <c r="BK280" s="40"/>
      <c r="BL280" s="40">
        <v>89</v>
      </c>
    </row>
    <row r="281" spans="1:64" ht="15" customHeight="1">
      <c r="A281" s="19" t="s">
        <v>675</v>
      </c>
      <c r="B281" s="59" t="s">
        <v>1214</v>
      </c>
      <c r="C281" s="76" t="s">
        <v>510</v>
      </c>
      <c r="D281" s="76"/>
      <c r="E281" s="76"/>
      <c r="F281" s="76"/>
      <c r="G281" s="59" t="s">
        <v>312</v>
      </c>
      <c r="H281" s="40">
        <v>70</v>
      </c>
      <c r="I281" s="40">
        <v>0</v>
      </c>
      <c r="J281" s="40">
        <f t="shared" si="160"/>
        <v>0</v>
      </c>
      <c r="K281" s="40">
        <f t="shared" si="161"/>
        <v>0</v>
      </c>
      <c r="L281" s="40">
        <f t="shared" si="162"/>
        <v>0</v>
      </c>
      <c r="M281" s="69" t="s">
        <v>868</v>
      </c>
      <c r="Z281" s="40">
        <f t="shared" si="163"/>
        <v>0</v>
      </c>
      <c r="AB281" s="40">
        <f t="shared" si="164"/>
        <v>0</v>
      </c>
      <c r="AC281" s="40">
        <f t="shared" si="165"/>
        <v>0</v>
      </c>
      <c r="AD281" s="40">
        <f t="shared" si="166"/>
        <v>0</v>
      </c>
      <c r="AE281" s="40">
        <f t="shared" si="167"/>
        <v>0</v>
      </c>
      <c r="AF281" s="40">
        <f t="shared" si="168"/>
        <v>0</v>
      </c>
      <c r="AG281" s="40">
        <f t="shared" si="169"/>
        <v>0</v>
      </c>
      <c r="AH281" s="40">
        <f t="shared" si="170"/>
        <v>0</v>
      </c>
      <c r="AI281" s="11" t="s">
        <v>255</v>
      </c>
      <c r="AJ281" s="40">
        <f t="shared" si="171"/>
        <v>0</v>
      </c>
      <c r="AK281" s="40">
        <f t="shared" si="172"/>
        <v>0</v>
      </c>
      <c r="AL281" s="40">
        <f t="shared" si="173"/>
        <v>0</v>
      </c>
      <c r="AN281" s="40">
        <v>21</v>
      </c>
      <c r="AO281" s="40">
        <f>I281*0</f>
        <v>0</v>
      </c>
      <c r="AP281" s="40">
        <f>I281*(1-0)</f>
        <v>0</v>
      </c>
      <c r="AQ281" s="17" t="s">
        <v>1260</v>
      </c>
      <c r="AV281" s="40">
        <f t="shared" si="174"/>
        <v>0</v>
      </c>
      <c r="AW281" s="40">
        <f t="shared" si="175"/>
        <v>0</v>
      </c>
      <c r="AX281" s="40">
        <f t="shared" si="176"/>
        <v>0</v>
      </c>
      <c r="AY281" s="17" t="s">
        <v>106</v>
      </c>
      <c r="AZ281" s="17" t="s">
        <v>881</v>
      </c>
      <c r="BA281" s="11" t="s">
        <v>921</v>
      </c>
      <c r="BC281" s="40">
        <f t="shared" si="177"/>
        <v>0</v>
      </c>
      <c r="BD281" s="40">
        <f t="shared" si="178"/>
        <v>0</v>
      </c>
      <c r="BE281" s="40">
        <v>0</v>
      </c>
      <c r="BF281" s="40">
        <f>281</f>
        <v>281</v>
      </c>
      <c r="BH281" s="40">
        <f t="shared" si="179"/>
        <v>0</v>
      </c>
      <c r="BI281" s="40">
        <f t="shared" si="180"/>
        <v>0</v>
      </c>
      <c r="BJ281" s="40">
        <f t="shared" si="181"/>
        <v>0</v>
      </c>
      <c r="BK281" s="40"/>
      <c r="BL281" s="40">
        <v>89</v>
      </c>
    </row>
    <row r="282" spans="1:64" ht="15" customHeight="1">
      <c r="A282" s="19" t="s">
        <v>1067</v>
      </c>
      <c r="B282" s="59" t="s">
        <v>673</v>
      </c>
      <c r="C282" s="76" t="s">
        <v>821</v>
      </c>
      <c r="D282" s="76"/>
      <c r="E282" s="76"/>
      <c r="F282" s="76"/>
      <c r="G282" s="59" t="s">
        <v>312</v>
      </c>
      <c r="H282" s="40">
        <v>8</v>
      </c>
      <c r="I282" s="40">
        <v>0</v>
      </c>
      <c r="J282" s="40">
        <f t="shared" si="160"/>
        <v>0</v>
      </c>
      <c r="K282" s="40">
        <f t="shared" si="161"/>
        <v>0</v>
      </c>
      <c r="L282" s="40">
        <f t="shared" si="162"/>
        <v>0</v>
      </c>
      <c r="M282" s="69" t="s">
        <v>868</v>
      </c>
      <c r="Z282" s="40">
        <f t="shared" si="163"/>
        <v>0</v>
      </c>
      <c r="AB282" s="40">
        <f t="shared" si="164"/>
        <v>0</v>
      </c>
      <c r="AC282" s="40">
        <f t="shared" si="165"/>
        <v>0</v>
      </c>
      <c r="AD282" s="40">
        <f t="shared" si="166"/>
        <v>0</v>
      </c>
      <c r="AE282" s="40">
        <f t="shared" si="167"/>
        <v>0</v>
      </c>
      <c r="AF282" s="40">
        <f t="shared" si="168"/>
        <v>0</v>
      </c>
      <c r="AG282" s="40">
        <f t="shared" si="169"/>
        <v>0</v>
      </c>
      <c r="AH282" s="40">
        <f t="shared" si="170"/>
        <v>0</v>
      </c>
      <c r="AI282" s="11" t="s">
        <v>255</v>
      </c>
      <c r="AJ282" s="40">
        <f t="shared" si="171"/>
        <v>0</v>
      </c>
      <c r="AK282" s="40">
        <f t="shared" si="172"/>
        <v>0</v>
      </c>
      <c r="AL282" s="40">
        <f t="shared" si="173"/>
        <v>0</v>
      </c>
      <c r="AN282" s="40">
        <v>21</v>
      </c>
      <c r="AO282" s="40">
        <f aca="true" t="shared" si="182" ref="AO282:AO288">I282*1</f>
        <v>0</v>
      </c>
      <c r="AP282" s="40">
        <f aca="true" t="shared" si="183" ref="AP282:AP288">I282*(1-1)</f>
        <v>0</v>
      </c>
      <c r="AQ282" s="17" t="s">
        <v>1260</v>
      </c>
      <c r="AV282" s="40">
        <f t="shared" si="174"/>
        <v>0</v>
      </c>
      <c r="AW282" s="40">
        <f t="shared" si="175"/>
        <v>0</v>
      </c>
      <c r="AX282" s="40">
        <f t="shared" si="176"/>
        <v>0</v>
      </c>
      <c r="AY282" s="17" t="s">
        <v>106</v>
      </c>
      <c r="AZ282" s="17" t="s">
        <v>881</v>
      </c>
      <c r="BA282" s="11" t="s">
        <v>921</v>
      </c>
      <c r="BC282" s="40">
        <f t="shared" si="177"/>
        <v>0</v>
      </c>
      <c r="BD282" s="40">
        <f t="shared" si="178"/>
        <v>0</v>
      </c>
      <c r="BE282" s="40">
        <v>0</v>
      </c>
      <c r="BF282" s="40">
        <f>282</f>
        <v>282</v>
      </c>
      <c r="BH282" s="40">
        <f t="shared" si="179"/>
        <v>0</v>
      </c>
      <c r="BI282" s="40">
        <f t="shared" si="180"/>
        <v>0</v>
      </c>
      <c r="BJ282" s="40">
        <f t="shared" si="181"/>
        <v>0</v>
      </c>
      <c r="BK282" s="40"/>
      <c r="BL282" s="40">
        <v>89</v>
      </c>
    </row>
    <row r="283" spans="1:64" ht="15" customHeight="1">
      <c r="A283" s="19" t="s">
        <v>1171</v>
      </c>
      <c r="B283" s="59" t="s">
        <v>1148</v>
      </c>
      <c r="C283" s="76" t="s">
        <v>97</v>
      </c>
      <c r="D283" s="76"/>
      <c r="E283" s="76"/>
      <c r="F283" s="76"/>
      <c r="G283" s="59" t="s">
        <v>312</v>
      </c>
      <c r="H283" s="40">
        <v>38</v>
      </c>
      <c r="I283" s="40">
        <v>0</v>
      </c>
      <c r="J283" s="40">
        <f t="shared" si="160"/>
        <v>0</v>
      </c>
      <c r="K283" s="40">
        <f t="shared" si="161"/>
        <v>0</v>
      </c>
      <c r="L283" s="40">
        <f t="shared" si="162"/>
        <v>0</v>
      </c>
      <c r="M283" s="69" t="s">
        <v>868</v>
      </c>
      <c r="Z283" s="40">
        <f t="shared" si="163"/>
        <v>0</v>
      </c>
      <c r="AB283" s="40">
        <f t="shared" si="164"/>
        <v>0</v>
      </c>
      <c r="AC283" s="40">
        <f t="shared" si="165"/>
        <v>0</v>
      </c>
      <c r="AD283" s="40">
        <f t="shared" si="166"/>
        <v>0</v>
      </c>
      <c r="AE283" s="40">
        <f t="shared" si="167"/>
        <v>0</v>
      </c>
      <c r="AF283" s="40">
        <f t="shared" si="168"/>
        <v>0</v>
      </c>
      <c r="AG283" s="40">
        <f t="shared" si="169"/>
        <v>0</v>
      </c>
      <c r="AH283" s="40">
        <f t="shared" si="170"/>
        <v>0</v>
      </c>
      <c r="AI283" s="11" t="s">
        <v>255</v>
      </c>
      <c r="AJ283" s="40">
        <f t="shared" si="171"/>
        <v>0</v>
      </c>
      <c r="AK283" s="40">
        <f t="shared" si="172"/>
        <v>0</v>
      </c>
      <c r="AL283" s="40">
        <f t="shared" si="173"/>
        <v>0</v>
      </c>
      <c r="AN283" s="40">
        <v>21</v>
      </c>
      <c r="AO283" s="40">
        <f t="shared" si="182"/>
        <v>0</v>
      </c>
      <c r="AP283" s="40">
        <f t="shared" si="183"/>
        <v>0</v>
      </c>
      <c r="AQ283" s="17" t="s">
        <v>1260</v>
      </c>
      <c r="AV283" s="40">
        <f t="shared" si="174"/>
        <v>0</v>
      </c>
      <c r="AW283" s="40">
        <f t="shared" si="175"/>
        <v>0</v>
      </c>
      <c r="AX283" s="40">
        <f t="shared" si="176"/>
        <v>0</v>
      </c>
      <c r="AY283" s="17" t="s">
        <v>106</v>
      </c>
      <c r="AZ283" s="17" t="s">
        <v>881</v>
      </c>
      <c r="BA283" s="11" t="s">
        <v>921</v>
      </c>
      <c r="BC283" s="40">
        <f t="shared" si="177"/>
        <v>0</v>
      </c>
      <c r="BD283" s="40">
        <f t="shared" si="178"/>
        <v>0</v>
      </c>
      <c r="BE283" s="40">
        <v>0</v>
      </c>
      <c r="BF283" s="40">
        <f>283</f>
        <v>283</v>
      </c>
      <c r="BH283" s="40">
        <f t="shared" si="179"/>
        <v>0</v>
      </c>
      <c r="BI283" s="40">
        <f t="shared" si="180"/>
        <v>0</v>
      </c>
      <c r="BJ283" s="40">
        <f t="shared" si="181"/>
        <v>0</v>
      </c>
      <c r="BK283" s="40"/>
      <c r="BL283" s="40">
        <v>89</v>
      </c>
    </row>
    <row r="284" spans="1:64" ht="15" customHeight="1">
      <c r="A284" s="19" t="s">
        <v>1261</v>
      </c>
      <c r="B284" s="59" t="s">
        <v>681</v>
      </c>
      <c r="C284" s="76" t="s">
        <v>1088</v>
      </c>
      <c r="D284" s="76"/>
      <c r="E284" s="76"/>
      <c r="F284" s="76"/>
      <c r="G284" s="59" t="s">
        <v>312</v>
      </c>
      <c r="H284" s="40">
        <v>2</v>
      </c>
      <c r="I284" s="40">
        <v>0</v>
      </c>
      <c r="J284" s="40">
        <f t="shared" si="160"/>
        <v>0</v>
      </c>
      <c r="K284" s="40">
        <f t="shared" si="161"/>
        <v>0</v>
      </c>
      <c r="L284" s="40">
        <f t="shared" si="162"/>
        <v>0</v>
      </c>
      <c r="M284" s="69" t="s">
        <v>868</v>
      </c>
      <c r="Z284" s="40">
        <f t="shared" si="163"/>
        <v>0</v>
      </c>
      <c r="AB284" s="40">
        <f t="shared" si="164"/>
        <v>0</v>
      </c>
      <c r="AC284" s="40">
        <f t="shared" si="165"/>
        <v>0</v>
      </c>
      <c r="AD284" s="40">
        <f t="shared" si="166"/>
        <v>0</v>
      </c>
      <c r="AE284" s="40">
        <f t="shared" si="167"/>
        <v>0</v>
      </c>
      <c r="AF284" s="40">
        <f t="shared" si="168"/>
        <v>0</v>
      </c>
      <c r="AG284" s="40">
        <f t="shared" si="169"/>
        <v>0</v>
      </c>
      <c r="AH284" s="40">
        <f t="shared" si="170"/>
        <v>0</v>
      </c>
      <c r="AI284" s="11" t="s">
        <v>255</v>
      </c>
      <c r="AJ284" s="40">
        <f t="shared" si="171"/>
        <v>0</v>
      </c>
      <c r="AK284" s="40">
        <f t="shared" si="172"/>
        <v>0</v>
      </c>
      <c r="AL284" s="40">
        <f t="shared" si="173"/>
        <v>0</v>
      </c>
      <c r="AN284" s="40">
        <v>21</v>
      </c>
      <c r="AO284" s="40">
        <f t="shared" si="182"/>
        <v>0</v>
      </c>
      <c r="AP284" s="40">
        <f t="shared" si="183"/>
        <v>0</v>
      </c>
      <c r="AQ284" s="17" t="s">
        <v>1260</v>
      </c>
      <c r="AV284" s="40">
        <f t="shared" si="174"/>
        <v>0</v>
      </c>
      <c r="AW284" s="40">
        <f t="shared" si="175"/>
        <v>0</v>
      </c>
      <c r="AX284" s="40">
        <f t="shared" si="176"/>
        <v>0</v>
      </c>
      <c r="AY284" s="17" t="s">
        <v>106</v>
      </c>
      <c r="AZ284" s="17" t="s">
        <v>881</v>
      </c>
      <c r="BA284" s="11" t="s">
        <v>921</v>
      </c>
      <c r="BC284" s="40">
        <f t="shared" si="177"/>
        <v>0</v>
      </c>
      <c r="BD284" s="40">
        <f t="shared" si="178"/>
        <v>0</v>
      </c>
      <c r="BE284" s="40">
        <v>0</v>
      </c>
      <c r="BF284" s="40">
        <f>284</f>
        <v>284</v>
      </c>
      <c r="BH284" s="40">
        <f t="shared" si="179"/>
        <v>0</v>
      </c>
      <c r="BI284" s="40">
        <f t="shared" si="180"/>
        <v>0</v>
      </c>
      <c r="BJ284" s="40">
        <f t="shared" si="181"/>
        <v>0</v>
      </c>
      <c r="BK284" s="40"/>
      <c r="BL284" s="40">
        <v>89</v>
      </c>
    </row>
    <row r="285" spans="1:64" ht="15" customHeight="1">
      <c r="A285" s="19" t="s">
        <v>861</v>
      </c>
      <c r="B285" s="59" t="s">
        <v>924</v>
      </c>
      <c r="C285" s="76" t="s">
        <v>1186</v>
      </c>
      <c r="D285" s="76"/>
      <c r="E285" s="76"/>
      <c r="F285" s="76"/>
      <c r="G285" s="59" t="s">
        <v>312</v>
      </c>
      <c r="H285" s="40">
        <v>2</v>
      </c>
      <c r="I285" s="40">
        <v>0</v>
      </c>
      <c r="J285" s="40">
        <f t="shared" si="160"/>
        <v>0</v>
      </c>
      <c r="K285" s="40">
        <f t="shared" si="161"/>
        <v>0</v>
      </c>
      <c r="L285" s="40">
        <f t="shared" si="162"/>
        <v>0</v>
      </c>
      <c r="M285" s="69" t="s">
        <v>868</v>
      </c>
      <c r="Z285" s="40">
        <f t="shared" si="163"/>
        <v>0</v>
      </c>
      <c r="AB285" s="40">
        <f t="shared" si="164"/>
        <v>0</v>
      </c>
      <c r="AC285" s="40">
        <f t="shared" si="165"/>
        <v>0</v>
      </c>
      <c r="AD285" s="40">
        <f t="shared" si="166"/>
        <v>0</v>
      </c>
      <c r="AE285" s="40">
        <f t="shared" si="167"/>
        <v>0</v>
      </c>
      <c r="AF285" s="40">
        <f t="shared" si="168"/>
        <v>0</v>
      </c>
      <c r="AG285" s="40">
        <f t="shared" si="169"/>
        <v>0</v>
      </c>
      <c r="AH285" s="40">
        <f t="shared" si="170"/>
        <v>0</v>
      </c>
      <c r="AI285" s="11" t="s">
        <v>255</v>
      </c>
      <c r="AJ285" s="40">
        <f t="shared" si="171"/>
        <v>0</v>
      </c>
      <c r="AK285" s="40">
        <f t="shared" si="172"/>
        <v>0</v>
      </c>
      <c r="AL285" s="40">
        <f t="shared" si="173"/>
        <v>0</v>
      </c>
      <c r="AN285" s="40">
        <v>21</v>
      </c>
      <c r="AO285" s="40">
        <f t="shared" si="182"/>
        <v>0</v>
      </c>
      <c r="AP285" s="40">
        <f t="shared" si="183"/>
        <v>0</v>
      </c>
      <c r="AQ285" s="17" t="s">
        <v>1260</v>
      </c>
      <c r="AV285" s="40">
        <f t="shared" si="174"/>
        <v>0</v>
      </c>
      <c r="AW285" s="40">
        <f t="shared" si="175"/>
        <v>0</v>
      </c>
      <c r="AX285" s="40">
        <f t="shared" si="176"/>
        <v>0</v>
      </c>
      <c r="AY285" s="17" t="s">
        <v>106</v>
      </c>
      <c r="AZ285" s="17" t="s">
        <v>881</v>
      </c>
      <c r="BA285" s="11" t="s">
        <v>921</v>
      </c>
      <c r="BC285" s="40">
        <f t="shared" si="177"/>
        <v>0</v>
      </c>
      <c r="BD285" s="40">
        <f t="shared" si="178"/>
        <v>0</v>
      </c>
      <c r="BE285" s="40">
        <v>0</v>
      </c>
      <c r="BF285" s="40">
        <f>285</f>
        <v>285</v>
      </c>
      <c r="BH285" s="40">
        <f t="shared" si="179"/>
        <v>0</v>
      </c>
      <c r="BI285" s="40">
        <f t="shared" si="180"/>
        <v>0</v>
      </c>
      <c r="BJ285" s="40">
        <f t="shared" si="181"/>
        <v>0</v>
      </c>
      <c r="BK285" s="40"/>
      <c r="BL285" s="40">
        <v>89</v>
      </c>
    </row>
    <row r="286" spans="1:64" ht="15" customHeight="1">
      <c r="A286" s="19" t="s">
        <v>1133</v>
      </c>
      <c r="B286" s="59" t="s">
        <v>1200</v>
      </c>
      <c r="C286" s="76" t="s">
        <v>638</v>
      </c>
      <c r="D286" s="76"/>
      <c r="E286" s="76"/>
      <c r="F286" s="76"/>
      <c r="G286" s="59" t="s">
        <v>312</v>
      </c>
      <c r="H286" s="40">
        <v>2</v>
      </c>
      <c r="I286" s="40">
        <v>0</v>
      </c>
      <c r="J286" s="40">
        <f t="shared" si="160"/>
        <v>0</v>
      </c>
      <c r="K286" s="40">
        <f t="shared" si="161"/>
        <v>0</v>
      </c>
      <c r="L286" s="40">
        <f t="shared" si="162"/>
        <v>0</v>
      </c>
      <c r="M286" s="69" t="s">
        <v>868</v>
      </c>
      <c r="Z286" s="40">
        <f t="shared" si="163"/>
        <v>0</v>
      </c>
      <c r="AB286" s="40">
        <f t="shared" si="164"/>
        <v>0</v>
      </c>
      <c r="AC286" s="40">
        <f t="shared" si="165"/>
        <v>0</v>
      </c>
      <c r="AD286" s="40">
        <f t="shared" si="166"/>
        <v>0</v>
      </c>
      <c r="AE286" s="40">
        <f t="shared" si="167"/>
        <v>0</v>
      </c>
      <c r="AF286" s="40">
        <f t="shared" si="168"/>
        <v>0</v>
      </c>
      <c r="AG286" s="40">
        <f t="shared" si="169"/>
        <v>0</v>
      </c>
      <c r="AH286" s="40">
        <f t="shared" si="170"/>
        <v>0</v>
      </c>
      <c r="AI286" s="11" t="s">
        <v>255</v>
      </c>
      <c r="AJ286" s="40">
        <f t="shared" si="171"/>
        <v>0</v>
      </c>
      <c r="AK286" s="40">
        <f t="shared" si="172"/>
        <v>0</v>
      </c>
      <c r="AL286" s="40">
        <f t="shared" si="173"/>
        <v>0</v>
      </c>
      <c r="AN286" s="40">
        <v>21</v>
      </c>
      <c r="AO286" s="40">
        <f t="shared" si="182"/>
        <v>0</v>
      </c>
      <c r="AP286" s="40">
        <f t="shared" si="183"/>
        <v>0</v>
      </c>
      <c r="AQ286" s="17" t="s">
        <v>1260</v>
      </c>
      <c r="AV286" s="40">
        <f t="shared" si="174"/>
        <v>0</v>
      </c>
      <c r="AW286" s="40">
        <f t="shared" si="175"/>
        <v>0</v>
      </c>
      <c r="AX286" s="40">
        <f t="shared" si="176"/>
        <v>0</v>
      </c>
      <c r="AY286" s="17" t="s">
        <v>106</v>
      </c>
      <c r="AZ286" s="17" t="s">
        <v>881</v>
      </c>
      <c r="BA286" s="11" t="s">
        <v>921</v>
      </c>
      <c r="BC286" s="40">
        <f t="shared" si="177"/>
        <v>0</v>
      </c>
      <c r="BD286" s="40">
        <f t="shared" si="178"/>
        <v>0</v>
      </c>
      <c r="BE286" s="40">
        <v>0</v>
      </c>
      <c r="BF286" s="40">
        <f>286</f>
        <v>286</v>
      </c>
      <c r="BH286" s="40">
        <f t="shared" si="179"/>
        <v>0</v>
      </c>
      <c r="BI286" s="40">
        <f t="shared" si="180"/>
        <v>0</v>
      </c>
      <c r="BJ286" s="40">
        <f t="shared" si="181"/>
        <v>0</v>
      </c>
      <c r="BK286" s="40"/>
      <c r="BL286" s="40">
        <v>89</v>
      </c>
    </row>
    <row r="287" spans="1:64" ht="15" customHeight="1">
      <c r="A287" s="19" t="s">
        <v>28</v>
      </c>
      <c r="B287" s="59" t="s">
        <v>1256</v>
      </c>
      <c r="C287" s="76" t="s">
        <v>265</v>
      </c>
      <c r="D287" s="76"/>
      <c r="E287" s="76"/>
      <c r="F287" s="76"/>
      <c r="G287" s="59" t="s">
        <v>312</v>
      </c>
      <c r="H287" s="40">
        <v>10</v>
      </c>
      <c r="I287" s="40">
        <v>0</v>
      </c>
      <c r="J287" s="40">
        <f t="shared" si="160"/>
        <v>0</v>
      </c>
      <c r="K287" s="40">
        <f t="shared" si="161"/>
        <v>0</v>
      </c>
      <c r="L287" s="40">
        <f t="shared" si="162"/>
        <v>0</v>
      </c>
      <c r="M287" s="69" t="s">
        <v>868</v>
      </c>
      <c r="Z287" s="40">
        <f t="shared" si="163"/>
        <v>0</v>
      </c>
      <c r="AB287" s="40">
        <f t="shared" si="164"/>
        <v>0</v>
      </c>
      <c r="AC287" s="40">
        <f t="shared" si="165"/>
        <v>0</v>
      </c>
      <c r="AD287" s="40">
        <f t="shared" si="166"/>
        <v>0</v>
      </c>
      <c r="AE287" s="40">
        <f t="shared" si="167"/>
        <v>0</v>
      </c>
      <c r="AF287" s="40">
        <f t="shared" si="168"/>
        <v>0</v>
      </c>
      <c r="AG287" s="40">
        <f t="shared" si="169"/>
        <v>0</v>
      </c>
      <c r="AH287" s="40">
        <f t="shared" si="170"/>
        <v>0</v>
      </c>
      <c r="AI287" s="11" t="s">
        <v>255</v>
      </c>
      <c r="AJ287" s="40">
        <f t="shared" si="171"/>
        <v>0</v>
      </c>
      <c r="AK287" s="40">
        <f t="shared" si="172"/>
        <v>0</v>
      </c>
      <c r="AL287" s="40">
        <f t="shared" si="173"/>
        <v>0</v>
      </c>
      <c r="AN287" s="40">
        <v>21</v>
      </c>
      <c r="AO287" s="40">
        <f t="shared" si="182"/>
        <v>0</v>
      </c>
      <c r="AP287" s="40">
        <f t="shared" si="183"/>
        <v>0</v>
      </c>
      <c r="AQ287" s="17" t="s">
        <v>1260</v>
      </c>
      <c r="AV287" s="40">
        <f t="shared" si="174"/>
        <v>0</v>
      </c>
      <c r="AW287" s="40">
        <f t="shared" si="175"/>
        <v>0</v>
      </c>
      <c r="AX287" s="40">
        <f t="shared" si="176"/>
        <v>0</v>
      </c>
      <c r="AY287" s="17" t="s">
        <v>106</v>
      </c>
      <c r="AZ287" s="17" t="s">
        <v>881</v>
      </c>
      <c r="BA287" s="11" t="s">
        <v>921</v>
      </c>
      <c r="BC287" s="40">
        <f t="shared" si="177"/>
        <v>0</v>
      </c>
      <c r="BD287" s="40">
        <f t="shared" si="178"/>
        <v>0</v>
      </c>
      <c r="BE287" s="40">
        <v>0</v>
      </c>
      <c r="BF287" s="40">
        <f>287</f>
        <v>287</v>
      </c>
      <c r="BH287" s="40">
        <f t="shared" si="179"/>
        <v>0</v>
      </c>
      <c r="BI287" s="40">
        <f t="shared" si="180"/>
        <v>0</v>
      </c>
      <c r="BJ287" s="40">
        <f t="shared" si="181"/>
        <v>0</v>
      </c>
      <c r="BK287" s="40"/>
      <c r="BL287" s="40">
        <v>89</v>
      </c>
    </row>
    <row r="288" spans="1:64" ht="15" customHeight="1">
      <c r="A288" s="19" t="s">
        <v>1337</v>
      </c>
      <c r="B288" s="59" t="s">
        <v>49</v>
      </c>
      <c r="C288" s="76" t="s">
        <v>323</v>
      </c>
      <c r="D288" s="76"/>
      <c r="E288" s="76"/>
      <c r="F288" s="76"/>
      <c r="G288" s="59" t="s">
        <v>312</v>
      </c>
      <c r="H288" s="40">
        <v>6</v>
      </c>
      <c r="I288" s="40">
        <v>0</v>
      </c>
      <c r="J288" s="40">
        <f t="shared" si="160"/>
        <v>0</v>
      </c>
      <c r="K288" s="40">
        <f t="shared" si="161"/>
        <v>0</v>
      </c>
      <c r="L288" s="40">
        <f t="shared" si="162"/>
        <v>0</v>
      </c>
      <c r="M288" s="69" t="s">
        <v>868</v>
      </c>
      <c r="Z288" s="40">
        <f t="shared" si="163"/>
        <v>0</v>
      </c>
      <c r="AB288" s="40">
        <f t="shared" si="164"/>
        <v>0</v>
      </c>
      <c r="AC288" s="40">
        <f t="shared" si="165"/>
        <v>0</v>
      </c>
      <c r="AD288" s="40">
        <f t="shared" si="166"/>
        <v>0</v>
      </c>
      <c r="AE288" s="40">
        <f t="shared" si="167"/>
        <v>0</v>
      </c>
      <c r="AF288" s="40">
        <f t="shared" si="168"/>
        <v>0</v>
      </c>
      <c r="AG288" s="40">
        <f t="shared" si="169"/>
        <v>0</v>
      </c>
      <c r="AH288" s="40">
        <f t="shared" si="170"/>
        <v>0</v>
      </c>
      <c r="AI288" s="11" t="s">
        <v>255</v>
      </c>
      <c r="AJ288" s="40">
        <f t="shared" si="171"/>
        <v>0</v>
      </c>
      <c r="AK288" s="40">
        <f t="shared" si="172"/>
        <v>0</v>
      </c>
      <c r="AL288" s="40">
        <f t="shared" si="173"/>
        <v>0</v>
      </c>
      <c r="AN288" s="40">
        <v>21</v>
      </c>
      <c r="AO288" s="40">
        <f t="shared" si="182"/>
        <v>0</v>
      </c>
      <c r="AP288" s="40">
        <f t="shared" si="183"/>
        <v>0</v>
      </c>
      <c r="AQ288" s="17" t="s">
        <v>1260</v>
      </c>
      <c r="AV288" s="40">
        <f t="shared" si="174"/>
        <v>0</v>
      </c>
      <c r="AW288" s="40">
        <f t="shared" si="175"/>
        <v>0</v>
      </c>
      <c r="AX288" s="40">
        <f t="shared" si="176"/>
        <v>0</v>
      </c>
      <c r="AY288" s="17" t="s">
        <v>106</v>
      </c>
      <c r="AZ288" s="17" t="s">
        <v>881</v>
      </c>
      <c r="BA288" s="11" t="s">
        <v>921</v>
      </c>
      <c r="BC288" s="40">
        <f t="shared" si="177"/>
        <v>0</v>
      </c>
      <c r="BD288" s="40">
        <f t="shared" si="178"/>
        <v>0</v>
      </c>
      <c r="BE288" s="40">
        <v>0</v>
      </c>
      <c r="BF288" s="40">
        <f>288</f>
        <v>288</v>
      </c>
      <c r="BH288" s="40">
        <f t="shared" si="179"/>
        <v>0</v>
      </c>
      <c r="BI288" s="40">
        <f t="shared" si="180"/>
        <v>0</v>
      </c>
      <c r="BJ288" s="40">
        <f t="shared" si="181"/>
        <v>0</v>
      </c>
      <c r="BK288" s="40"/>
      <c r="BL288" s="40">
        <v>89</v>
      </c>
    </row>
    <row r="289" spans="1:64" ht="15" customHeight="1">
      <c r="A289" s="19" t="s">
        <v>961</v>
      </c>
      <c r="B289" s="59" t="s">
        <v>115</v>
      </c>
      <c r="C289" s="76" t="s">
        <v>988</v>
      </c>
      <c r="D289" s="76"/>
      <c r="E289" s="76"/>
      <c r="F289" s="76"/>
      <c r="G289" s="59" t="s">
        <v>312</v>
      </c>
      <c r="H289" s="40">
        <v>22</v>
      </c>
      <c r="I289" s="40">
        <v>0</v>
      </c>
      <c r="J289" s="40">
        <f t="shared" si="160"/>
        <v>0</v>
      </c>
      <c r="K289" s="40">
        <f t="shared" si="161"/>
        <v>0</v>
      </c>
      <c r="L289" s="40">
        <f t="shared" si="162"/>
        <v>0</v>
      </c>
      <c r="M289" s="69" t="s">
        <v>868</v>
      </c>
      <c r="Z289" s="40">
        <f t="shared" si="163"/>
        <v>0</v>
      </c>
      <c r="AB289" s="40">
        <f t="shared" si="164"/>
        <v>0</v>
      </c>
      <c r="AC289" s="40">
        <f t="shared" si="165"/>
        <v>0</v>
      </c>
      <c r="AD289" s="40">
        <f t="shared" si="166"/>
        <v>0</v>
      </c>
      <c r="AE289" s="40">
        <f t="shared" si="167"/>
        <v>0</v>
      </c>
      <c r="AF289" s="40">
        <f t="shared" si="168"/>
        <v>0</v>
      </c>
      <c r="AG289" s="40">
        <f t="shared" si="169"/>
        <v>0</v>
      </c>
      <c r="AH289" s="40">
        <f t="shared" si="170"/>
        <v>0</v>
      </c>
      <c r="AI289" s="11" t="s">
        <v>255</v>
      </c>
      <c r="AJ289" s="40">
        <f t="shared" si="171"/>
        <v>0</v>
      </c>
      <c r="AK289" s="40">
        <f t="shared" si="172"/>
        <v>0</v>
      </c>
      <c r="AL289" s="40">
        <f t="shared" si="173"/>
        <v>0</v>
      </c>
      <c r="AN289" s="40">
        <v>21</v>
      </c>
      <c r="AO289" s="40">
        <f>I289*0</f>
        <v>0</v>
      </c>
      <c r="AP289" s="40">
        <f>I289*(1-0)</f>
        <v>0</v>
      </c>
      <c r="AQ289" s="17" t="s">
        <v>1260</v>
      </c>
      <c r="AV289" s="40">
        <f t="shared" si="174"/>
        <v>0</v>
      </c>
      <c r="AW289" s="40">
        <f t="shared" si="175"/>
        <v>0</v>
      </c>
      <c r="AX289" s="40">
        <f t="shared" si="176"/>
        <v>0</v>
      </c>
      <c r="AY289" s="17" t="s">
        <v>106</v>
      </c>
      <c r="AZ289" s="17" t="s">
        <v>881</v>
      </c>
      <c r="BA289" s="11" t="s">
        <v>921</v>
      </c>
      <c r="BC289" s="40">
        <f t="shared" si="177"/>
        <v>0</v>
      </c>
      <c r="BD289" s="40">
        <f t="shared" si="178"/>
        <v>0</v>
      </c>
      <c r="BE289" s="40">
        <v>0</v>
      </c>
      <c r="BF289" s="40">
        <f>289</f>
        <v>289</v>
      </c>
      <c r="BH289" s="40">
        <f t="shared" si="179"/>
        <v>0</v>
      </c>
      <c r="BI289" s="40">
        <f t="shared" si="180"/>
        <v>0</v>
      </c>
      <c r="BJ289" s="40">
        <f t="shared" si="181"/>
        <v>0</v>
      </c>
      <c r="BK289" s="40"/>
      <c r="BL289" s="40">
        <v>89</v>
      </c>
    </row>
    <row r="290" spans="1:64" ht="15" customHeight="1">
      <c r="A290" s="19" t="s">
        <v>734</v>
      </c>
      <c r="B290" s="59" t="s">
        <v>591</v>
      </c>
      <c r="C290" s="76" t="s">
        <v>1100</v>
      </c>
      <c r="D290" s="76"/>
      <c r="E290" s="76"/>
      <c r="F290" s="76"/>
      <c r="G290" s="59" t="s">
        <v>312</v>
      </c>
      <c r="H290" s="40">
        <v>16</v>
      </c>
      <c r="I290" s="40">
        <v>0</v>
      </c>
      <c r="J290" s="40">
        <f t="shared" si="160"/>
        <v>0</v>
      </c>
      <c r="K290" s="40">
        <f t="shared" si="161"/>
        <v>0</v>
      </c>
      <c r="L290" s="40">
        <f t="shared" si="162"/>
        <v>0</v>
      </c>
      <c r="M290" s="69" t="s">
        <v>868</v>
      </c>
      <c r="Z290" s="40">
        <f t="shared" si="163"/>
        <v>0</v>
      </c>
      <c r="AB290" s="40">
        <f t="shared" si="164"/>
        <v>0</v>
      </c>
      <c r="AC290" s="40">
        <f t="shared" si="165"/>
        <v>0</v>
      </c>
      <c r="AD290" s="40">
        <f t="shared" si="166"/>
        <v>0</v>
      </c>
      <c r="AE290" s="40">
        <f t="shared" si="167"/>
        <v>0</v>
      </c>
      <c r="AF290" s="40">
        <f t="shared" si="168"/>
        <v>0</v>
      </c>
      <c r="AG290" s="40">
        <f t="shared" si="169"/>
        <v>0</v>
      </c>
      <c r="AH290" s="40">
        <f t="shared" si="170"/>
        <v>0</v>
      </c>
      <c r="AI290" s="11" t="s">
        <v>255</v>
      </c>
      <c r="AJ290" s="40">
        <f t="shared" si="171"/>
        <v>0</v>
      </c>
      <c r="AK290" s="40">
        <f t="shared" si="172"/>
        <v>0</v>
      </c>
      <c r="AL290" s="40">
        <f t="shared" si="173"/>
        <v>0</v>
      </c>
      <c r="AN290" s="40">
        <v>21</v>
      </c>
      <c r="AO290" s="40">
        <f>I290*1</f>
        <v>0</v>
      </c>
      <c r="AP290" s="40">
        <f>I290*(1-1)</f>
        <v>0</v>
      </c>
      <c r="AQ290" s="17" t="s">
        <v>1260</v>
      </c>
      <c r="AV290" s="40">
        <f t="shared" si="174"/>
        <v>0</v>
      </c>
      <c r="AW290" s="40">
        <f t="shared" si="175"/>
        <v>0</v>
      </c>
      <c r="AX290" s="40">
        <f t="shared" si="176"/>
        <v>0</v>
      </c>
      <c r="AY290" s="17" t="s">
        <v>106</v>
      </c>
      <c r="AZ290" s="17" t="s">
        <v>881</v>
      </c>
      <c r="BA290" s="11" t="s">
        <v>921</v>
      </c>
      <c r="BC290" s="40">
        <f t="shared" si="177"/>
        <v>0</v>
      </c>
      <c r="BD290" s="40">
        <f t="shared" si="178"/>
        <v>0</v>
      </c>
      <c r="BE290" s="40">
        <v>0</v>
      </c>
      <c r="BF290" s="40">
        <f>290</f>
        <v>290</v>
      </c>
      <c r="BH290" s="40">
        <f t="shared" si="179"/>
        <v>0</v>
      </c>
      <c r="BI290" s="40">
        <f t="shared" si="180"/>
        <v>0</v>
      </c>
      <c r="BJ290" s="40">
        <f t="shared" si="181"/>
        <v>0</v>
      </c>
      <c r="BK290" s="40"/>
      <c r="BL290" s="40">
        <v>89</v>
      </c>
    </row>
    <row r="291" spans="1:64" ht="15" customHeight="1">
      <c r="A291" s="19" t="s">
        <v>1288</v>
      </c>
      <c r="B291" s="59" t="s">
        <v>1046</v>
      </c>
      <c r="C291" s="76" t="s">
        <v>981</v>
      </c>
      <c r="D291" s="76"/>
      <c r="E291" s="76"/>
      <c r="F291" s="76"/>
      <c r="G291" s="59" t="s">
        <v>312</v>
      </c>
      <c r="H291" s="40">
        <v>6</v>
      </c>
      <c r="I291" s="40">
        <v>0</v>
      </c>
      <c r="J291" s="40">
        <f t="shared" si="160"/>
        <v>0</v>
      </c>
      <c r="K291" s="40">
        <f t="shared" si="161"/>
        <v>0</v>
      </c>
      <c r="L291" s="40">
        <f t="shared" si="162"/>
        <v>0</v>
      </c>
      <c r="M291" s="69" t="s">
        <v>868</v>
      </c>
      <c r="Z291" s="40">
        <f t="shared" si="163"/>
        <v>0</v>
      </c>
      <c r="AB291" s="40">
        <f t="shared" si="164"/>
        <v>0</v>
      </c>
      <c r="AC291" s="40">
        <f t="shared" si="165"/>
        <v>0</v>
      </c>
      <c r="AD291" s="40">
        <f t="shared" si="166"/>
        <v>0</v>
      </c>
      <c r="AE291" s="40">
        <f t="shared" si="167"/>
        <v>0</v>
      </c>
      <c r="AF291" s="40">
        <f t="shared" si="168"/>
        <v>0</v>
      </c>
      <c r="AG291" s="40">
        <f t="shared" si="169"/>
        <v>0</v>
      </c>
      <c r="AH291" s="40">
        <f t="shared" si="170"/>
        <v>0</v>
      </c>
      <c r="AI291" s="11" t="s">
        <v>255</v>
      </c>
      <c r="AJ291" s="40">
        <f t="shared" si="171"/>
        <v>0</v>
      </c>
      <c r="AK291" s="40">
        <f t="shared" si="172"/>
        <v>0</v>
      </c>
      <c r="AL291" s="40">
        <f t="shared" si="173"/>
        <v>0</v>
      </c>
      <c r="AN291" s="40">
        <v>21</v>
      </c>
      <c r="AO291" s="40">
        <f>I291*1</f>
        <v>0</v>
      </c>
      <c r="AP291" s="40">
        <f>I291*(1-1)</f>
        <v>0</v>
      </c>
      <c r="AQ291" s="17" t="s">
        <v>1260</v>
      </c>
      <c r="AV291" s="40">
        <f t="shared" si="174"/>
        <v>0</v>
      </c>
      <c r="AW291" s="40">
        <f t="shared" si="175"/>
        <v>0</v>
      </c>
      <c r="AX291" s="40">
        <f t="shared" si="176"/>
        <v>0</v>
      </c>
      <c r="AY291" s="17" t="s">
        <v>106</v>
      </c>
      <c r="AZ291" s="17" t="s">
        <v>881</v>
      </c>
      <c r="BA291" s="11" t="s">
        <v>921</v>
      </c>
      <c r="BC291" s="40">
        <f t="shared" si="177"/>
        <v>0</v>
      </c>
      <c r="BD291" s="40">
        <f t="shared" si="178"/>
        <v>0</v>
      </c>
      <c r="BE291" s="40">
        <v>0</v>
      </c>
      <c r="BF291" s="40">
        <f>291</f>
        <v>291</v>
      </c>
      <c r="BH291" s="40">
        <f t="shared" si="179"/>
        <v>0</v>
      </c>
      <c r="BI291" s="40">
        <f t="shared" si="180"/>
        <v>0</v>
      </c>
      <c r="BJ291" s="40">
        <f t="shared" si="181"/>
        <v>0</v>
      </c>
      <c r="BK291" s="40"/>
      <c r="BL291" s="40">
        <v>89</v>
      </c>
    </row>
    <row r="292" spans="1:64" ht="15" customHeight="1">
      <c r="A292" s="19" t="s">
        <v>1023</v>
      </c>
      <c r="B292" s="59" t="s">
        <v>486</v>
      </c>
      <c r="C292" s="76" t="s">
        <v>1014</v>
      </c>
      <c r="D292" s="76"/>
      <c r="E292" s="76"/>
      <c r="F292" s="76"/>
      <c r="G292" s="59" t="s">
        <v>312</v>
      </c>
      <c r="H292" s="40">
        <v>65</v>
      </c>
      <c r="I292" s="40">
        <v>0</v>
      </c>
      <c r="J292" s="40">
        <f t="shared" si="160"/>
        <v>0</v>
      </c>
      <c r="K292" s="40">
        <f t="shared" si="161"/>
        <v>0</v>
      </c>
      <c r="L292" s="40">
        <f t="shared" si="162"/>
        <v>0</v>
      </c>
      <c r="M292" s="69" t="s">
        <v>868</v>
      </c>
      <c r="Z292" s="40">
        <f t="shared" si="163"/>
        <v>0</v>
      </c>
      <c r="AB292" s="40">
        <f t="shared" si="164"/>
        <v>0</v>
      </c>
      <c r="AC292" s="40">
        <f t="shared" si="165"/>
        <v>0</v>
      </c>
      <c r="AD292" s="40">
        <f t="shared" si="166"/>
        <v>0</v>
      </c>
      <c r="AE292" s="40">
        <f t="shared" si="167"/>
        <v>0</v>
      </c>
      <c r="AF292" s="40">
        <f t="shared" si="168"/>
        <v>0</v>
      </c>
      <c r="AG292" s="40">
        <f t="shared" si="169"/>
        <v>0</v>
      </c>
      <c r="AH292" s="40">
        <f t="shared" si="170"/>
        <v>0</v>
      </c>
      <c r="AI292" s="11" t="s">
        <v>255</v>
      </c>
      <c r="AJ292" s="40">
        <f t="shared" si="171"/>
        <v>0</v>
      </c>
      <c r="AK292" s="40">
        <f t="shared" si="172"/>
        <v>0</v>
      </c>
      <c r="AL292" s="40">
        <f t="shared" si="173"/>
        <v>0</v>
      </c>
      <c r="AN292" s="40">
        <v>21</v>
      </c>
      <c r="AO292" s="40">
        <f>I292*1</f>
        <v>0</v>
      </c>
      <c r="AP292" s="40">
        <f>I292*(1-1)</f>
        <v>0</v>
      </c>
      <c r="AQ292" s="17" t="s">
        <v>1260</v>
      </c>
      <c r="AV292" s="40">
        <f t="shared" si="174"/>
        <v>0</v>
      </c>
      <c r="AW292" s="40">
        <f t="shared" si="175"/>
        <v>0</v>
      </c>
      <c r="AX292" s="40">
        <f t="shared" si="176"/>
        <v>0</v>
      </c>
      <c r="AY292" s="17" t="s">
        <v>106</v>
      </c>
      <c r="AZ292" s="17" t="s">
        <v>881</v>
      </c>
      <c r="BA292" s="11" t="s">
        <v>921</v>
      </c>
      <c r="BC292" s="40">
        <f t="shared" si="177"/>
        <v>0</v>
      </c>
      <c r="BD292" s="40">
        <f t="shared" si="178"/>
        <v>0</v>
      </c>
      <c r="BE292" s="40">
        <v>0</v>
      </c>
      <c r="BF292" s="40">
        <f>292</f>
        <v>292</v>
      </c>
      <c r="BH292" s="40">
        <f t="shared" si="179"/>
        <v>0</v>
      </c>
      <c r="BI292" s="40">
        <f t="shared" si="180"/>
        <v>0</v>
      </c>
      <c r="BJ292" s="40">
        <f t="shared" si="181"/>
        <v>0</v>
      </c>
      <c r="BK292" s="40"/>
      <c r="BL292" s="40">
        <v>89</v>
      </c>
    </row>
    <row r="293" spans="1:64" ht="15" customHeight="1">
      <c r="A293" s="19" t="s">
        <v>1236</v>
      </c>
      <c r="B293" s="59" t="s">
        <v>996</v>
      </c>
      <c r="C293" s="76" t="s">
        <v>451</v>
      </c>
      <c r="D293" s="76"/>
      <c r="E293" s="76"/>
      <c r="F293" s="76"/>
      <c r="G293" s="59" t="s">
        <v>312</v>
      </c>
      <c r="H293" s="40">
        <v>16</v>
      </c>
      <c r="I293" s="40">
        <v>0</v>
      </c>
      <c r="J293" s="40">
        <f t="shared" si="160"/>
        <v>0</v>
      </c>
      <c r="K293" s="40">
        <f t="shared" si="161"/>
        <v>0</v>
      </c>
      <c r="L293" s="40">
        <f t="shared" si="162"/>
        <v>0</v>
      </c>
      <c r="M293" s="69" t="s">
        <v>868</v>
      </c>
      <c r="Z293" s="40">
        <f t="shared" si="163"/>
        <v>0</v>
      </c>
      <c r="AB293" s="40">
        <f t="shared" si="164"/>
        <v>0</v>
      </c>
      <c r="AC293" s="40">
        <f t="shared" si="165"/>
        <v>0</v>
      </c>
      <c r="AD293" s="40">
        <f t="shared" si="166"/>
        <v>0</v>
      </c>
      <c r="AE293" s="40">
        <f t="shared" si="167"/>
        <v>0</v>
      </c>
      <c r="AF293" s="40">
        <f t="shared" si="168"/>
        <v>0</v>
      </c>
      <c r="AG293" s="40">
        <f t="shared" si="169"/>
        <v>0</v>
      </c>
      <c r="AH293" s="40">
        <f t="shared" si="170"/>
        <v>0</v>
      </c>
      <c r="AI293" s="11" t="s">
        <v>255</v>
      </c>
      <c r="AJ293" s="40">
        <f t="shared" si="171"/>
        <v>0</v>
      </c>
      <c r="AK293" s="40">
        <f t="shared" si="172"/>
        <v>0</v>
      </c>
      <c r="AL293" s="40">
        <f t="shared" si="173"/>
        <v>0</v>
      </c>
      <c r="AN293" s="40">
        <v>21</v>
      </c>
      <c r="AO293" s="40">
        <f>I293*0.0102210490819661</f>
        <v>0</v>
      </c>
      <c r="AP293" s="40">
        <f>I293*(1-0.0102210490819661)</f>
        <v>0</v>
      </c>
      <c r="AQ293" s="17" t="s">
        <v>1260</v>
      </c>
      <c r="AV293" s="40">
        <f t="shared" si="174"/>
        <v>0</v>
      </c>
      <c r="AW293" s="40">
        <f t="shared" si="175"/>
        <v>0</v>
      </c>
      <c r="AX293" s="40">
        <f t="shared" si="176"/>
        <v>0</v>
      </c>
      <c r="AY293" s="17" t="s">
        <v>106</v>
      </c>
      <c r="AZ293" s="17" t="s">
        <v>881</v>
      </c>
      <c r="BA293" s="11" t="s">
        <v>921</v>
      </c>
      <c r="BC293" s="40">
        <f t="shared" si="177"/>
        <v>0</v>
      </c>
      <c r="BD293" s="40">
        <f t="shared" si="178"/>
        <v>0</v>
      </c>
      <c r="BE293" s="40">
        <v>0</v>
      </c>
      <c r="BF293" s="40">
        <f>293</f>
        <v>293</v>
      </c>
      <c r="BH293" s="40">
        <f t="shared" si="179"/>
        <v>0</v>
      </c>
      <c r="BI293" s="40">
        <f t="shared" si="180"/>
        <v>0</v>
      </c>
      <c r="BJ293" s="40">
        <f t="shared" si="181"/>
        <v>0</v>
      </c>
      <c r="BK293" s="40"/>
      <c r="BL293" s="40">
        <v>89</v>
      </c>
    </row>
    <row r="294" spans="1:64" ht="15" customHeight="1">
      <c r="A294" s="19" t="s">
        <v>221</v>
      </c>
      <c r="B294" s="59" t="s">
        <v>710</v>
      </c>
      <c r="C294" s="76" t="s">
        <v>62</v>
      </c>
      <c r="D294" s="76"/>
      <c r="E294" s="76"/>
      <c r="F294" s="76"/>
      <c r="G294" s="59" t="s">
        <v>312</v>
      </c>
      <c r="H294" s="40">
        <v>16</v>
      </c>
      <c r="I294" s="40">
        <v>0</v>
      </c>
      <c r="J294" s="40">
        <f t="shared" si="160"/>
        <v>0</v>
      </c>
      <c r="K294" s="40">
        <f t="shared" si="161"/>
        <v>0</v>
      </c>
      <c r="L294" s="40">
        <f t="shared" si="162"/>
        <v>0</v>
      </c>
      <c r="M294" s="69" t="s">
        <v>868</v>
      </c>
      <c r="Z294" s="40">
        <f t="shared" si="163"/>
        <v>0</v>
      </c>
      <c r="AB294" s="40">
        <f t="shared" si="164"/>
        <v>0</v>
      </c>
      <c r="AC294" s="40">
        <f t="shared" si="165"/>
        <v>0</v>
      </c>
      <c r="AD294" s="40">
        <f t="shared" si="166"/>
        <v>0</v>
      </c>
      <c r="AE294" s="40">
        <f t="shared" si="167"/>
        <v>0</v>
      </c>
      <c r="AF294" s="40">
        <f t="shared" si="168"/>
        <v>0</v>
      </c>
      <c r="AG294" s="40">
        <f t="shared" si="169"/>
        <v>0</v>
      </c>
      <c r="AH294" s="40">
        <f t="shared" si="170"/>
        <v>0</v>
      </c>
      <c r="AI294" s="11" t="s">
        <v>255</v>
      </c>
      <c r="AJ294" s="40">
        <f t="shared" si="171"/>
        <v>0</v>
      </c>
      <c r="AK294" s="40">
        <f t="shared" si="172"/>
        <v>0</v>
      </c>
      <c r="AL294" s="40">
        <f t="shared" si="173"/>
        <v>0</v>
      </c>
      <c r="AN294" s="40">
        <v>21</v>
      </c>
      <c r="AO294" s="40">
        <f>I294*1</f>
        <v>0</v>
      </c>
      <c r="AP294" s="40">
        <f>I294*(1-1)</f>
        <v>0</v>
      </c>
      <c r="AQ294" s="17" t="s">
        <v>1260</v>
      </c>
      <c r="AV294" s="40">
        <f t="shared" si="174"/>
        <v>0</v>
      </c>
      <c r="AW294" s="40">
        <f t="shared" si="175"/>
        <v>0</v>
      </c>
      <c r="AX294" s="40">
        <f t="shared" si="176"/>
        <v>0</v>
      </c>
      <c r="AY294" s="17" t="s">
        <v>106</v>
      </c>
      <c r="AZ294" s="17" t="s">
        <v>881</v>
      </c>
      <c r="BA294" s="11" t="s">
        <v>921</v>
      </c>
      <c r="BC294" s="40">
        <f t="shared" si="177"/>
        <v>0</v>
      </c>
      <c r="BD294" s="40">
        <f t="shared" si="178"/>
        <v>0</v>
      </c>
      <c r="BE294" s="40">
        <v>0</v>
      </c>
      <c r="BF294" s="40">
        <f>294</f>
        <v>294</v>
      </c>
      <c r="BH294" s="40">
        <f t="shared" si="179"/>
        <v>0</v>
      </c>
      <c r="BI294" s="40">
        <f t="shared" si="180"/>
        <v>0</v>
      </c>
      <c r="BJ294" s="40">
        <f t="shared" si="181"/>
        <v>0</v>
      </c>
      <c r="BK294" s="40"/>
      <c r="BL294" s="40">
        <v>89</v>
      </c>
    </row>
    <row r="295" spans="1:64" ht="15" customHeight="1">
      <c r="A295" s="19" t="s">
        <v>1047</v>
      </c>
      <c r="B295" s="59" t="s">
        <v>460</v>
      </c>
      <c r="C295" s="76" t="s">
        <v>1229</v>
      </c>
      <c r="D295" s="76"/>
      <c r="E295" s="76"/>
      <c r="F295" s="76"/>
      <c r="G295" s="59" t="s">
        <v>1041</v>
      </c>
      <c r="H295" s="40">
        <v>182.9</v>
      </c>
      <c r="I295" s="40">
        <v>0</v>
      </c>
      <c r="J295" s="40">
        <f t="shared" si="160"/>
        <v>0</v>
      </c>
      <c r="K295" s="40">
        <f t="shared" si="161"/>
        <v>0</v>
      </c>
      <c r="L295" s="40">
        <f t="shared" si="162"/>
        <v>0</v>
      </c>
      <c r="M295" s="69" t="s">
        <v>868</v>
      </c>
      <c r="Z295" s="40">
        <f t="shared" si="163"/>
        <v>0</v>
      </c>
      <c r="AB295" s="40">
        <f t="shared" si="164"/>
        <v>0</v>
      </c>
      <c r="AC295" s="40">
        <f t="shared" si="165"/>
        <v>0</v>
      </c>
      <c r="AD295" s="40">
        <f t="shared" si="166"/>
        <v>0</v>
      </c>
      <c r="AE295" s="40">
        <f t="shared" si="167"/>
        <v>0</v>
      </c>
      <c r="AF295" s="40">
        <f t="shared" si="168"/>
        <v>0</v>
      </c>
      <c r="AG295" s="40">
        <f t="shared" si="169"/>
        <v>0</v>
      </c>
      <c r="AH295" s="40">
        <f t="shared" si="170"/>
        <v>0</v>
      </c>
      <c r="AI295" s="11" t="s">
        <v>255</v>
      </c>
      <c r="AJ295" s="40">
        <f t="shared" si="171"/>
        <v>0</v>
      </c>
      <c r="AK295" s="40">
        <f t="shared" si="172"/>
        <v>0</v>
      </c>
      <c r="AL295" s="40">
        <f t="shared" si="173"/>
        <v>0</v>
      </c>
      <c r="AN295" s="40">
        <v>21</v>
      </c>
      <c r="AO295" s="40">
        <f>I295*0.129513888888889</f>
        <v>0</v>
      </c>
      <c r="AP295" s="40">
        <f>I295*(1-0.129513888888889)</f>
        <v>0</v>
      </c>
      <c r="AQ295" s="17" t="s">
        <v>1260</v>
      </c>
      <c r="AV295" s="40">
        <f t="shared" si="174"/>
        <v>0</v>
      </c>
      <c r="AW295" s="40">
        <f t="shared" si="175"/>
        <v>0</v>
      </c>
      <c r="AX295" s="40">
        <f t="shared" si="176"/>
        <v>0</v>
      </c>
      <c r="AY295" s="17" t="s">
        <v>106</v>
      </c>
      <c r="AZ295" s="17" t="s">
        <v>881</v>
      </c>
      <c r="BA295" s="11" t="s">
        <v>921</v>
      </c>
      <c r="BC295" s="40">
        <f t="shared" si="177"/>
        <v>0</v>
      </c>
      <c r="BD295" s="40">
        <f t="shared" si="178"/>
        <v>0</v>
      </c>
      <c r="BE295" s="40">
        <v>0</v>
      </c>
      <c r="BF295" s="40">
        <f>295</f>
        <v>295</v>
      </c>
      <c r="BH295" s="40">
        <f t="shared" si="179"/>
        <v>0</v>
      </c>
      <c r="BI295" s="40">
        <f t="shared" si="180"/>
        <v>0</v>
      </c>
      <c r="BJ295" s="40">
        <f t="shared" si="181"/>
        <v>0</v>
      </c>
      <c r="BK295" s="40"/>
      <c r="BL295" s="40">
        <v>89</v>
      </c>
    </row>
    <row r="296" spans="1:64" ht="15" customHeight="1">
      <c r="A296" s="19" t="s">
        <v>1415</v>
      </c>
      <c r="B296" s="59" t="s">
        <v>691</v>
      </c>
      <c r="C296" s="76" t="s">
        <v>454</v>
      </c>
      <c r="D296" s="76"/>
      <c r="E296" s="76"/>
      <c r="F296" s="76"/>
      <c r="G296" s="59" t="s">
        <v>1357</v>
      </c>
      <c r="H296" s="40">
        <v>4</v>
      </c>
      <c r="I296" s="40">
        <v>0</v>
      </c>
      <c r="J296" s="40">
        <f t="shared" si="160"/>
        <v>0</v>
      </c>
      <c r="K296" s="40">
        <f t="shared" si="161"/>
        <v>0</v>
      </c>
      <c r="L296" s="40">
        <f t="shared" si="162"/>
        <v>0</v>
      </c>
      <c r="M296" s="69" t="s">
        <v>868</v>
      </c>
      <c r="Z296" s="40">
        <f t="shared" si="163"/>
        <v>0</v>
      </c>
      <c r="AB296" s="40">
        <f t="shared" si="164"/>
        <v>0</v>
      </c>
      <c r="AC296" s="40">
        <f t="shared" si="165"/>
        <v>0</v>
      </c>
      <c r="AD296" s="40">
        <f t="shared" si="166"/>
        <v>0</v>
      </c>
      <c r="AE296" s="40">
        <f t="shared" si="167"/>
        <v>0</v>
      </c>
      <c r="AF296" s="40">
        <f t="shared" si="168"/>
        <v>0</v>
      </c>
      <c r="AG296" s="40">
        <f t="shared" si="169"/>
        <v>0</v>
      </c>
      <c r="AH296" s="40">
        <f t="shared" si="170"/>
        <v>0</v>
      </c>
      <c r="AI296" s="11" t="s">
        <v>255</v>
      </c>
      <c r="AJ296" s="40">
        <f t="shared" si="171"/>
        <v>0</v>
      </c>
      <c r="AK296" s="40">
        <f t="shared" si="172"/>
        <v>0</v>
      </c>
      <c r="AL296" s="40">
        <f t="shared" si="173"/>
        <v>0</v>
      </c>
      <c r="AN296" s="40">
        <v>21</v>
      </c>
      <c r="AO296" s="40">
        <f>I296*0.172805875566436</f>
        <v>0</v>
      </c>
      <c r="AP296" s="40">
        <f>I296*(1-0.172805875566436)</f>
        <v>0</v>
      </c>
      <c r="AQ296" s="17" t="s">
        <v>1260</v>
      </c>
      <c r="AV296" s="40">
        <f t="shared" si="174"/>
        <v>0</v>
      </c>
      <c r="AW296" s="40">
        <f t="shared" si="175"/>
        <v>0</v>
      </c>
      <c r="AX296" s="40">
        <f t="shared" si="176"/>
        <v>0</v>
      </c>
      <c r="AY296" s="17" t="s">
        <v>106</v>
      </c>
      <c r="AZ296" s="17" t="s">
        <v>881</v>
      </c>
      <c r="BA296" s="11" t="s">
        <v>921</v>
      </c>
      <c r="BC296" s="40">
        <f t="shared" si="177"/>
        <v>0</v>
      </c>
      <c r="BD296" s="40">
        <f t="shared" si="178"/>
        <v>0</v>
      </c>
      <c r="BE296" s="40">
        <v>0</v>
      </c>
      <c r="BF296" s="40">
        <f>296</f>
        <v>296</v>
      </c>
      <c r="BH296" s="40">
        <f t="shared" si="179"/>
        <v>0</v>
      </c>
      <c r="BI296" s="40">
        <f t="shared" si="180"/>
        <v>0</v>
      </c>
      <c r="BJ296" s="40">
        <f t="shared" si="181"/>
        <v>0</v>
      </c>
      <c r="BK296" s="40"/>
      <c r="BL296" s="40">
        <v>89</v>
      </c>
    </row>
    <row r="297" spans="1:64" ht="15" customHeight="1">
      <c r="A297" s="19" t="s">
        <v>320</v>
      </c>
      <c r="B297" s="59" t="s">
        <v>1019</v>
      </c>
      <c r="C297" s="76" t="s">
        <v>1170</v>
      </c>
      <c r="D297" s="76"/>
      <c r="E297" s="76"/>
      <c r="F297" s="76"/>
      <c r="G297" s="59" t="s">
        <v>1041</v>
      </c>
      <c r="H297" s="40">
        <v>163.5</v>
      </c>
      <c r="I297" s="40">
        <v>0</v>
      </c>
      <c r="J297" s="40">
        <f t="shared" si="160"/>
        <v>0</v>
      </c>
      <c r="K297" s="40">
        <f t="shared" si="161"/>
        <v>0</v>
      </c>
      <c r="L297" s="40">
        <f t="shared" si="162"/>
        <v>0</v>
      </c>
      <c r="M297" s="69" t="s">
        <v>868</v>
      </c>
      <c r="Z297" s="40">
        <f t="shared" si="163"/>
        <v>0</v>
      </c>
      <c r="AB297" s="40">
        <f t="shared" si="164"/>
        <v>0</v>
      </c>
      <c r="AC297" s="40">
        <f t="shared" si="165"/>
        <v>0</v>
      </c>
      <c r="AD297" s="40">
        <f t="shared" si="166"/>
        <v>0</v>
      </c>
      <c r="AE297" s="40">
        <f t="shared" si="167"/>
        <v>0</v>
      </c>
      <c r="AF297" s="40">
        <f t="shared" si="168"/>
        <v>0</v>
      </c>
      <c r="AG297" s="40">
        <f t="shared" si="169"/>
        <v>0</v>
      </c>
      <c r="AH297" s="40">
        <f t="shared" si="170"/>
        <v>0</v>
      </c>
      <c r="AI297" s="11" t="s">
        <v>255</v>
      </c>
      <c r="AJ297" s="40">
        <f t="shared" si="171"/>
        <v>0</v>
      </c>
      <c r="AK297" s="40">
        <f t="shared" si="172"/>
        <v>0</v>
      </c>
      <c r="AL297" s="40">
        <f t="shared" si="173"/>
        <v>0</v>
      </c>
      <c r="AN297" s="40">
        <v>21</v>
      </c>
      <c r="AO297" s="40">
        <f>I297*0.20035799522673</f>
        <v>0</v>
      </c>
      <c r="AP297" s="40">
        <f>I297*(1-0.20035799522673)</f>
        <v>0</v>
      </c>
      <c r="AQ297" s="17" t="s">
        <v>1260</v>
      </c>
      <c r="AV297" s="40">
        <f t="shared" si="174"/>
        <v>0</v>
      </c>
      <c r="AW297" s="40">
        <f t="shared" si="175"/>
        <v>0</v>
      </c>
      <c r="AX297" s="40">
        <f t="shared" si="176"/>
        <v>0</v>
      </c>
      <c r="AY297" s="17" t="s">
        <v>106</v>
      </c>
      <c r="AZ297" s="17" t="s">
        <v>881</v>
      </c>
      <c r="BA297" s="11" t="s">
        <v>921</v>
      </c>
      <c r="BC297" s="40">
        <f t="shared" si="177"/>
        <v>0</v>
      </c>
      <c r="BD297" s="40">
        <f t="shared" si="178"/>
        <v>0</v>
      </c>
      <c r="BE297" s="40">
        <v>0</v>
      </c>
      <c r="BF297" s="40">
        <f>297</f>
        <v>297</v>
      </c>
      <c r="BH297" s="40">
        <f t="shared" si="179"/>
        <v>0</v>
      </c>
      <c r="BI297" s="40">
        <f t="shared" si="180"/>
        <v>0</v>
      </c>
      <c r="BJ297" s="40">
        <f t="shared" si="181"/>
        <v>0</v>
      </c>
      <c r="BK297" s="40"/>
      <c r="BL297" s="40">
        <v>89</v>
      </c>
    </row>
    <row r="298" spans="1:64" ht="15" customHeight="1">
      <c r="A298" s="19" t="s">
        <v>455</v>
      </c>
      <c r="B298" s="59" t="s">
        <v>817</v>
      </c>
      <c r="C298" s="76" t="s">
        <v>791</v>
      </c>
      <c r="D298" s="76"/>
      <c r="E298" s="76"/>
      <c r="F298" s="76"/>
      <c r="G298" s="59" t="s">
        <v>1357</v>
      </c>
      <c r="H298" s="40">
        <v>5</v>
      </c>
      <c r="I298" s="40">
        <v>0</v>
      </c>
      <c r="J298" s="40">
        <f t="shared" si="160"/>
        <v>0</v>
      </c>
      <c r="K298" s="40">
        <f t="shared" si="161"/>
        <v>0</v>
      </c>
      <c r="L298" s="40">
        <f t="shared" si="162"/>
        <v>0</v>
      </c>
      <c r="M298" s="69" t="s">
        <v>868</v>
      </c>
      <c r="Z298" s="40">
        <f t="shared" si="163"/>
        <v>0</v>
      </c>
      <c r="AB298" s="40">
        <f t="shared" si="164"/>
        <v>0</v>
      </c>
      <c r="AC298" s="40">
        <f t="shared" si="165"/>
        <v>0</v>
      </c>
      <c r="AD298" s="40">
        <f t="shared" si="166"/>
        <v>0</v>
      </c>
      <c r="AE298" s="40">
        <f t="shared" si="167"/>
        <v>0</v>
      </c>
      <c r="AF298" s="40">
        <f t="shared" si="168"/>
        <v>0</v>
      </c>
      <c r="AG298" s="40">
        <f t="shared" si="169"/>
        <v>0</v>
      </c>
      <c r="AH298" s="40">
        <f t="shared" si="170"/>
        <v>0</v>
      </c>
      <c r="AI298" s="11" t="s">
        <v>255</v>
      </c>
      <c r="AJ298" s="40">
        <f t="shared" si="171"/>
        <v>0</v>
      </c>
      <c r="AK298" s="40">
        <f t="shared" si="172"/>
        <v>0</v>
      </c>
      <c r="AL298" s="40">
        <f t="shared" si="173"/>
        <v>0</v>
      </c>
      <c r="AN298" s="40">
        <v>21</v>
      </c>
      <c r="AO298" s="40">
        <f>I298*0.124624657534247</f>
        <v>0</v>
      </c>
      <c r="AP298" s="40">
        <f>I298*(1-0.124624657534247)</f>
        <v>0</v>
      </c>
      <c r="AQ298" s="17" t="s">
        <v>1260</v>
      </c>
      <c r="AV298" s="40">
        <f t="shared" si="174"/>
        <v>0</v>
      </c>
      <c r="AW298" s="40">
        <f t="shared" si="175"/>
        <v>0</v>
      </c>
      <c r="AX298" s="40">
        <f t="shared" si="176"/>
        <v>0</v>
      </c>
      <c r="AY298" s="17" t="s">
        <v>106</v>
      </c>
      <c r="AZ298" s="17" t="s">
        <v>881</v>
      </c>
      <c r="BA298" s="11" t="s">
        <v>921</v>
      </c>
      <c r="BC298" s="40">
        <f t="shared" si="177"/>
        <v>0</v>
      </c>
      <c r="BD298" s="40">
        <f t="shared" si="178"/>
        <v>0</v>
      </c>
      <c r="BE298" s="40">
        <v>0</v>
      </c>
      <c r="BF298" s="40">
        <f>298</f>
        <v>298</v>
      </c>
      <c r="BH298" s="40">
        <f t="shared" si="179"/>
        <v>0</v>
      </c>
      <c r="BI298" s="40">
        <f t="shared" si="180"/>
        <v>0</v>
      </c>
      <c r="BJ298" s="40">
        <f t="shared" si="181"/>
        <v>0</v>
      </c>
      <c r="BK298" s="40"/>
      <c r="BL298" s="40">
        <v>89</v>
      </c>
    </row>
    <row r="299" spans="1:64" ht="15" customHeight="1">
      <c r="A299" s="19" t="s">
        <v>423</v>
      </c>
      <c r="B299" s="59" t="s">
        <v>50</v>
      </c>
      <c r="C299" s="76" t="s">
        <v>124</v>
      </c>
      <c r="D299" s="76"/>
      <c r="E299" s="76"/>
      <c r="F299" s="76"/>
      <c r="G299" s="59" t="s">
        <v>1041</v>
      </c>
      <c r="H299" s="40">
        <v>100.5</v>
      </c>
      <c r="I299" s="40">
        <v>0</v>
      </c>
      <c r="J299" s="40">
        <f t="shared" si="160"/>
        <v>0</v>
      </c>
      <c r="K299" s="40">
        <f t="shared" si="161"/>
        <v>0</v>
      </c>
      <c r="L299" s="40">
        <f t="shared" si="162"/>
        <v>0</v>
      </c>
      <c r="M299" s="69" t="s">
        <v>868</v>
      </c>
      <c r="Z299" s="40">
        <f t="shared" si="163"/>
        <v>0</v>
      </c>
      <c r="AB299" s="40">
        <f t="shared" si="164"/>
        <v>0</v>
      </c>
      <c r="AC299" s="40">
        <f t="shared" si="165"/>
        <v>0</v>
      </c>
      <c r="AD299" s="40">
        <f t="shared" si="166"/>
        <v>0</v>
      </c>
      <c r="AE299" s="40">
        <f t="shared" si="167"/>
        <v>0</v>
      </c>
      <c r="AF299" s="40">
        <f t="shared" si="168"/>
        <v>0</v>
      </c>
      <c r="AG299" s="40">
        <f t="shared" si="169"/>
        <v>0</v>
      </c>
      <c r="AH299" s="40">
        <f t="shared" si="170"/>
        <v>0</v>
      </c>
      <c r="AI299" s="11" t="s">
        <v>255</v>
      </c>
      <c r="AJ299" s="40">
        <f t="shared" si="171"/>
        <v>0</v>
      </c>
      <c r="AK299" s="40">
        <f t="shared" si="172"/>
        <v>0</v>
      </c>
      <c r="AL299" s="40">
        <f t="shared" si="173"/>
        <v>0</v>
      </c>
      <c r="AN299" s="40">
        <v>21</v>
      </c>
      <c r="AO299" s="40">
        <f>I299*0.245781445156535</f>
        <v>0</v>
      </c>
      <c r="AP299" s="40">
        <f>I299*(1-0.245781445156535)</f>
        <v>0</v>
      </c>
      <c r="AQ299" s="17" t="s">
        <v>1260</v>
      </c>
      <c r="AV299" s="40">
        <f t="shared" si="174"/>
        <v>0</v>
      </c>
      <c r="AW299" s="40">
        <f t="shared" si="175"/>
        <v>0</v>
      </c>
      <c r="AX299" s="40">
        <f t="shared" si="176"/>
        <v>0</v>
      </c>
      <c r="AY299" s="17" t="s">
        <v>106</v>
      </c>
      <c r="AZ299" s="17" t="s">
        <v>881</v>
      </c>
      <c r="BA299" s="11" t="s">
        <v>921</v>
      </c>
      <c r="BC299" s="40">
        <f t="shared" si="177"/>
        <v>0</v>
      </c>
      <c r="BD299" s="40">
        <f t="shared" si="178"/>
        <v>0</v>
      </c>
      <c r="BE299" s="40">
        <v>0</v>
      </c>
      <c r="BF299" s="40">
        <f>299</f>
        <v>299</v>
      </c>
      <c r="BH299" s="40">
        <f t="shared" si="179"/>
        <v>0</v>
      </c>
      <c r="BI299" s="40">
        <f t="shared" si="180"/>
        <v>0</v>
      </c>
      <c r="BJ299" s="40">
        <f t="shared" si="181"/>
        <v>0</v>
      </c>
      <c r="BK299" s="40"/>
      <c r="BL299" s="40">
        <v>89</v>
      </c>
    </row>
    <row r="300" spans="1:64" ht="15" customHeight="1">
      <c r="A300" s="19" t="s">
        <v>832</v>
      </c>
      <c r="B300" s="59" t="s">
        <v>582</v>
      </c>
      <c r="C300" s="76" t="s">
        <v>490</v>
      </c>
      <c r="D300" s="76"/>
      <c r="E300" s="76"/>
      <c r="F300" s="76"/>
      <c r="G300" s="59" t="s">
        <v>1357</v>
      </c>
      <c r="H300" s="40">
        <v>6</v>
      </c>
      <c r="I300" s="40">
        <v>0</v>
      </c>
      <c r="J300" s="40">
        <f t="shared" si="160"/>
        <v>0</v>
      </c>
      <c r="K300" s="40">
        <f t="shared" si="161"/>
        <v>0</v>
      </c>
      <c r="L300" s="40">
        <f t="shared" si="162"/>
        <v>0</v>
      </c>
      <c r="M300" s="69" t="s">
        <v>868</v>
      </c>
      <c r="Z300" s="40">
        <f t="shared" si="163"/>
        <v>0</v>
      </c>
      <c r="AB300" s="40">
        <f t="shared" si="164"/>
        <v>0</v>
      </c>
      <c r="AC300" s="40">
        <f t="shared" si="165"/>
        <v>0</v>
      </c>
      <c r="AD300" s="40">
        <f t="shared" si="166"/>
        <v>0</v>
      </c>
      <c r="AE300" s="40">
        <f t="shared" si="167"/>
        <v>0</v>
      </c>
      <c r="AF300" s="40">
        <f t="shared" si="168"/>
        <v>0</v>
      </c>
      <c r="AG300" s="40">
        <f t="shared" si="169"/>
        <v>0</v>
      </c>
      <c r="AH300" s="40">
        <f t="shared" si="170"/>
        <v>0</v>
      </c>
      <c r="AI300" s="11" t="s">
        <v>255</v>
      </c>
      <c r="AJ300" s="40">
        <f t="shared" si="171"/>
        <v>0</v>
      </c>
      <c r="AK300" s="40">
        <f t="shared" si="172"/>
        <v>0</v>
      </c>
      <c r="AL300" s="40">
        <f t="shared" si="173"/>
        <v>0</v>
      </c>
      <c r="AN300" s="40">
        <v>21</v>
      </c>
      <c r="AO300" s="40">
        <f>I300*0.168811079190905</f>
        <v>0</v>
      </c>
      <c r="AP300" s="40">
        <f>I300*(1-0.168811079190905)</f>
        <v>0</v>
      </c>
      <c r="AQ300" s="17" t="s">
        <v>1260</v>
      </c>
      <c r="AV300" s="40">
        <f t="shared" si="174"/>
        <v>0</v>
      </c>
      <c r="AW300" s="40">
        <f t="shared" si="175"/>
        <v>0</v>
      </c>
      <c r="AX300" s="40">
        <f t="shared" si="176"/>
        <v>0</v>
      </c>
      <c r="AY300" s="17" t="s">
        <v>106</v>
      </c>
      <c r="AZ300" s="17" t="s">
        <v>881</v>
      </c>
      <c r="BA300" s="11" t="s">
        <v>921</v>
      </c>
      <c r="BC300" s="40">
        <f t="shared" si="177"/>
        <v>0</v>
      </c>
      <c r="BD300" s="40">
        <f t="shared" si="178"/>
        <v>0</v>
      </c>
      <c r="BE300" s="40">
        <v>0</v>
      </c>
      <c r="BF300" s="40">
        <f>300</f>
        <v>300</v>
      </c>
      <c r="BH300" s="40">
        <f t="shared" si="179"/>
        <v>0</v>
      </c>
      <c r="BI300" s="40">
        <f t="shared" si="180"/>
        <v>0</v>
      </c>
      <c r="BJ300" s="40">
        <f t="shared" si="181"/>
        <v>0</v>
      </c>
      <c r="BK300" s="40"/>
      <c r="BL300" s="40">
        <v>89</v>
      </c>
    </row>
    <row r="301" spans="1:64" ht="15" customHeight="1">
      <c r="A301" s="19" t="s">
        <v>207</v>
      </c>
      <c r="B301" s="59" t="s">
        <v>670</v>
      </c>
      <c r="C301" s="76" t="s">
        <v>338</v>
      </c>
      <c r="D301" s="76"/>
      <c r="E301" s="76"/>
      <c r="F301" s="76"/>
      <c r="G301" s="59" t="s">
        <v>254</v>
      </c>
      <c r="H301" s="40">
        <v>43</v>
      </c>
      <c r="I301" s="40">
        <v>0</v>
      </c>
      <c r="J301" s="40">
        <f t="shared" si="160"/>
        <v>0</v>
      </c>
      <c r="K301" s="40">
        <f t="shared" si="161"/>
        <v>0</v>
      </c>
      <c r="L301" s="40">
        <f t="shared" si="162"/>
        <v>0</v>
      </c>
      <c r="M301" s="69" t="s">
        <v>868</v>
      </c>
      <c r="Z301" s="40">
        <f t="shared" si="163"/>
        <v>0</v>
      </c>
      <c r="AB301" s="40">
        <f t="shared" si="164"/>
        <v>0</v>
      </c>
      <c r="AC301" s="40">
        <f t="shared" si="165"/>
        <v>0</v>
      </c>
      <c r="AD301" s="40">
        <f t="shared" si="166"/>
        <v>0</v>
      </c>
      <c r="AE301" s="40">
        <f t="shared" si="167"/>
        <v>0</v>
      </c>
      <c r="AF301" s="40">
        <f t="shared" si="168"/>
        <v>0</v>
      </c>
      <c r="AG301" s="40">
        <f t="shared" si="169"/>
        <v>0</v>
      </c>
      <c r="AH301" s="40">
        <f t="shared" si="170"/>
        <v>0</v>
      </c>
      <c r="AI301" s="11" t="s">
        <v>255</v>
      </c>
      <c r="AJ301" s="40">
        <f t="shared" si="171"/>
        <v>0</v>
      </c>
      <c r="AK301" s="40">
        <f t="shared" si="172"/>
        <v>0</v>
      </c>
      <c r="AL301" s="40">
        <f t="shared" si="173"/>
        <v>0</v>
      </c>
      <c r="AN301" s="40">
        <v>21</v>
      </c>
      <c r="AO301" s="40">
        <f>I301*0.33300395256917</f>
        <v>0</v>
      </c>
      <c r="AP301" s="40">
        <f>I301*(1-0.33300395256917)</f>
        <v>0</v>
      </c>
      <c r="AQ301" s="17" t="s">
        <v>1260</v>
      </c>
      <c r="AV301" s="40">
        <f t="shared" si="174"/>
        <v>0</v>
      </c>
      <c r="AW301" s="40">
        <f t="shared" si="175"/>
        <v>0</v>
      </c>
      <c r="AX301" s="40">
        <f t="shared" si="176"/>
        <v>0</v>
      </c>
      <c r="AY301" s="17" t="s">
        <v>106</v>
      </c>
      <c r="AZ301" s="17" t="s">
        <v>881</v>
      </c>
      <c r="BA301" s="11" t="s">
        <v>921</v>
      </c>
      <c r="BC301" s="40">
        <f t="shared" si="177"/>
        <v>0</v>
      </c>
      <c r="BD301" s="40">
        <f t="shared" si="178"/>
        <v>0</v>
      </c>
      <c r="BE301" s="40">
        <v>0</v>
      </c>
      <c r="BF301" s="40">
        <f>301</f>
        <v>301</v>
      </c>
      <c r="BH301" s="40">
        <f t="shared" si="179"/>
        <v>0</v>
      </c>
      <c r="BI301" s="40">
        <f t="shared" si="180"/>
        <v>0</v>
      </c>
      <c r="BJ301" s="40">
        <f t="shared" si="181"/>
        <v>0</v>
      </c>
      <c r="BK301" s="40"/>
      <c r="BL301" s="40">
        <v>89</v>
      </c>
    </row>
    <row r="302" spans="1:47" ht="15" customHeight="1">
      <c r="A302" s="24" t="s">
        <v>878</v>
      </c>
      <c r="B302" s="66" t="s">
        <v>61</v>
      </c>
      <c r="C302" s="92" t="s">
        <v>444</v>
      </c>
      <c r="D302" s="92"/>
      <c r="E302" s="92"/>
      <c r="F302" s="92"/>
      <c r="G302" s="3" t="s">
        <v>1172</v>
      </c>
      <c r="H302" s="3" t="s">
        <v>1172</v>
      </c>
      <c r="I302" s="3" t="s">
        <v>1172</v>
      </c>
      <c r="J302" s="63">
        <f>SUM(J303:J304)</f>
        <v>0</v>
      </c>
      <c r="K302" s="63">
        <f>SUM(K303:K304)</f>
        <v>0</v>
      </c>
      <c r="L302" s="63">
        <f>SUM(L303:L304)</f>
        <v>0</v>
      </c>
      <c r="M302" s="4" t="s">
        <v>878</v>
      </c>
      <c r="AI302" s="11" t="s">
        <v>255</v>
      </c>
      <c r="AS302" s="63">
        <f>SUM(AJ303:AJ304)</f>
        <v>0</v>
      </c>
      <c r="AT302" s="63">
        <f>SUM(AK303:AK304)</f>
        <v>0</v>
      </c>
      <c r="AU302" s="63">
        <f>SUM(AL303:AL304)</f>
        <v>0</v>
      </c>
    </row>
    <row r="303" spans="1:64" ht="15" customHeight="1">
      <c r="A303" s="19" t="s">
        <v>448</v>
      </c>
      <c r="B303" s="59" t="s">
        <v>24</v>
      </c>
      <c r="C303" s="76" t="s">
        <v>1287</v>
      </c>
      <c r="D303" s="76"/>
      <c r="E303" s="76"/>
      <c r="F303" s="76"/>
      <c r="G303" s="59" t="s">
        <v>1041</v>
      </c>
      <c r="H303" s="40">
        <v>554.2</v>
      </c>
      <c r="I303" s="40">
        <v>0</v>
      </c>
      <c r="J303" s="40">
        <f>H303*AO303</f>
        <v>0</v>
      </c>
      <c r="K303" s="40">
        <f>H303*AP303</f>
        <v>0</v>
      </c>
      <c r="L303" s="40">
        <f>H303*I303</f>
        <v>0</v>
      </c>
      <c r="M303" s="69" t="s">
        <v>868</v>
      </c>
      <c r="Z303" s="40">
        <f>IF(AQ303="5",BJ303,0)</f>
        <v>0</v>
      </c>
      <c r="AB303" s="40">
        <f>IF(AQ303="1",BH303,0)</f>
        <v>0</v>
      </c>
      <c r="AC303" s="40">
        <f>IF(AQ303="1",BI303,0)</f>
        <v>0</v>
      </c>
      <c r="AD303" s="40">
        <f>IF(AQ303="7",BH303,0)</f>
        <v>0</v>
      </c>
      <c r="AE303" s="40">
        <f>IF(AQ303="7",BI303,0)</f>
        <v>0</v>
      </c>
      <c r="AF303" s="40">
        <f>IF(AQ303="2",BH303,0)</f>
        <v>0</v>
      </c>
      <c r="AG303" s="40">
        <f>IF(AQ303="2",BI303,0)</f>
        <v>0</v>
      </c>
      <c r="AH303" s="40">
        <f>IF(AQ303="0",BJ303,0)</f>
        <v>0</v>
      </c>
      <c r="AI303" s="11" t="s">
        <v>255</v>
      </c>
      <c r="AJ303" s="40">
        <f>IF(AN303=0,L303,0)</f>
        <v>0</v>
      </c>
      <c r="AK303" s="40">
        <f>IF(AN303=15,L303,0)</f>
        <v>0</v>
      </c>
      <c r="AL303" s="40">
        <f>IF(AN303=21,L303,0)</f>
        <v>0</v>
      </c>
      <c r="AN303" s="40">
        <v>21</v>
      </c>
      <c r="AO303" s="40">
        <f>I303*0.563818183637595</f>
        <v>0</v>
      </c>
      <c r="AP303" s="40">
        <f>I303*(1-0.563818183637595)</f>
        <v>0</v>
      </c>
      <c r="AQ303" s="17" t="s">
        <v>1260</v>
      </c>
      <c r="AV303" s="40">
        <f>AW303+AX303</f>
        <v>0</v>
      </c>
      <c r="AW303" s="40">
        <f>H303*AO303</f>
        <v>0</v>
      </c>
      <c r="AX303" s="40">
        <f>H303*AP303</f>
        <v>0</v>
      </c>
      <c r="AY303" s="17" t="s">
        <v>1233</v>
      </c>
      <c r="AZ303" s="17" t="s">
        <v>811</v>
      </c>
      <c r="BA303" s="11" t="s">
        <v>921</v>
      </c>
      <c r="BC303" s="40">
        <f>AW303+AX303</f>
        <v>0</v>
      </c>
      <c r="BD303" s="40">
        <f>I303/(100-BE303)*100</f>
        <v>0</v>
      </c>
      <c r="BE303" s="40">
        <v>0</v>
      </c>
      <c r="BF303" s="40">
        <f>303</f>
        <v>303</v>
      </c>
      <c r="BH303" s="40">
        <f>H303*AO303</f>
        <v>0</v>
      </c>
      <c r="BI303" s="40">
        <f>H303*AP303</f>
        <v>0</v>
      </c>
      <c r="BJ303" s="40">
        <f>H303*I303</f>
        <v>0</v>
      </c>
      <c r="BK303" s="40"/>
      <c r="BL303" s="40">
        <v>91</v>
      </c>
    </row>
    <row r="304" spans="1:64" ht="15" customHeight="1">
      <c r="A304" s="19" t="s">
        <v>1050</v>
      </c>
      <c r="B304" s="59" t="s">
        <v>708</v>
      </c>
      <c r="C304" s="76" t="s">
        <v>919</v>
      </c>
      <c r="D304" s="76"/>
      <c r="E304" s="76"/>
      <c r="F304" s="76"/>
      <c r="G304" s="59" t="s">
        <v>1041</v>
      </c>
      <c r="H304" s="40">
        <v>52</v>
      </c>
      <c r="I304" s="40">
        <v>0</v>
      </c>
      <c r="J304" s="40">
        <f>H304*AO304</f>
        <v>0</v>
      </c>
      <c r="K304" s="40">
        <f>H304*AP304</f>
        <v>0</v>
      </c>
      <c r="L304" s="40">
        <f>H304*I304</f>
        <v>0</v>
      </c>
      <c r="M304" s="69" t="s">
        <v>868</v>
      </c>
      <c r="Z304" s="40">
        <f>IF(AQ304="5",BJ304,0)</f>
        <v>0</v>
      </c>
      <c r="AB304" s="40">
        <f>IF(AQ304="1",BH304,0)</f>
        <v>0</v>
      </c>
      <c r="AC304" s="40">
        <f>IF(AQ304="1",BI304,0)</f>
        <v>0</v>
      </c>
      <c r="AD304" s="40">
        <f>IF(AQ304="7",BH304,0)</f>
        <v>0</v>
      </c>
      <c r="AE304" s="40">
        <f>IF(AQ304="7",BI304,0)</f>
        <v>0</v>
      </c>
      <c r="AF304" s="40">
        <f>IF(AQ304="2",BH304,0)</f>
        <v>0</v>
      </c>
      <c r="AG304" s="40">
        <f>IF(AQ304="2",BI304,0)</f>
        <v>0</v>
      </c>
      <c r="AH304" s="40">
        <f>IF(AQ304="0",BJ304,0)</f>
        <v>0</v>
      </c>
      <c r="AI304" s="11" t="s">
        <v>255</v>
      </c>
      <c r="AJ304" s="40">
        <f>IF(AN304=0,L304,0)</f>
        <v>0</v>
      </c>
      <c r="AK304" s="40">
        <f>IF(AN304=15,L304,0)</f>
        <v>0</v>
      </c>
      <c r="AL304" s="40">
        <f>IF(AN304=21,L304,0)</f>
        <v>0</v>
      </c>
      <c r="AN304" s="40">
        <v>21</v>
      </c>
      <c r="AO304" s="40">
        <f>I304*0.104916462063597</f>
        <v>0</v>
      </c>
      <c r="AP304" s="40">
        <f>I304*(1-0.104916462063597)</f>
        <v>0</v>
      </c>
      <c r="AQ304" s="17" t="s">
        <v>1260</v>
      </c>
      <c r="AV304" s="40">
        <f>AW304+AX304</f>
        <v>0</v>
      </c>
      <c r="AW304" s="40">
        <f>H304*AO304</f>
        <v>0</v>
      </c>
      <c r="AX304" s="40">
        <f>H304*AP304</f>
        <v>0</v>
      </c>
      <c r="AY304" s="17" t="s">
        <v>1233</v>
      </c>
      <c r="AZ304" s="17" t="s">
        <v>811</v>
      </c>
      <c r="BA304" s="11" t="s">
        <v>921</v>
      </c>
      <c r="BC304" s="40">
        <f>AW304+AX304</f>
        <v>0</v>
      </c>
      <c r="BD304" s="40">
        <f>I304/(100-BE304)*100</f>
        <v>0</v>
      </c>
      <c r="BE304" s="40">
        <v>0</v>
      </c>
      <c r="BF304" s="40">
        <f>304</f>
        <v>304</v>
      </c>
      <c r="BH304" s="40">
        <f>H304*AO304</f>
        <v>0</v>
      </c>
      <c r="BI304" s="40">
        <f>H304*AP304</f>
        <v>0</v>
      </c>
      <c r="BJ304" s="40">
        <f>H304*I304</f>
        <v>0</v>
      </c>
      <c r="BK304" s="40"/>
      <c r="BL304" s="40">
        <v>91</v>
      </c>
    </row>
    <row r="305" spans="1:47" ht="15" customHeight="1">
      <c r="A305" s="24" t="s">
        <v>878</v>
      </c>
      <c r="B305" s="66" t="s">
        <v>1152</v>
      </c>
      <c r="C305" s="92" t="s">
        <v>478</v>
      </c>
      <c r="D305" s="92"/>
      <c r="E305" s="92"/>
      <c r="F305" s="92"/>
      <c r="G305" s="3" t="s">
        <v>1172</v>
      </c>
      <c r="H305" s="3" t="s">
        <v>1172</v>
      </c>
      <c r="I305" s="3" t="s">
        <v>1172</v>
      </c>
      <c r="J305" s="63">
        <f>SUM(J306:J306)</f>
        <v>0</v>
      </c>
      <c r="K305" s="63">
        <f>SUM(K306:K306)</f>
        <v>0</v>
      </c>
      <c r="L305" s="63">
        <f>SUM(L306:L306)</f>
        <v>0</v>
      </c>
      <c r="M305" s="4" t="s">
        <v>878</v>
      </c>
      <c r="AI305" s="11" t="s">
        <v>255</v>
      </c>
      <c r="AS305" s="63">
        <f>SUM(AJ306:AJ306)</f>
        <v>0</v>
      </c>
      <c r="AT305" s="63">
        <f>SUM(AK306:AK306)</f>
        <v>0</v>
      </c>
      <c r="AU305" s="63">
        <f>SUM(AL306:AL306)</f>
        <v>0</v>
      </c>
    </row>
    <row r="306" spans="1:64" ht="15" customHeight="1">
      <c r="A306" s="19" t="s">
        <v>30</v>
      </c>
      <c r="B306" s="59" t="s">
        <v>813</v>
      </c>
      <c r="C306" s="76" t="s">
        <v>601</v>
      </c>
      <c r="D306" s="76"/>
      <c r="E306" s="76"/>
      <c r="F306" s="76"/>
      <c r="G306" s="59" t="s">
        <v>1220</v>
      </c>
      <c r="H306" s="40">
        <v>117.76995</v>
      </c>
      <c r="I306" s="40">
        <v>0</v>
      </c>
      <c r="J306" s="40">
        <f>H306*AO306</f>
        <v>0</v>
      </c>
      <c r="K306" s="40">
        <f>H306*AP306</f>
        <v>0</v>
      </c>
      <c r="L306" s="40">
        <f>H306*I306</f>
        <v>0</v>
      </c>
      <c r="M306" s="69" t="s">
        <v>868</v>
      </c>
      <c r="Z306" s="40">
        <f>IF(AQ306="5",BJ306,0)</f>
        <v>0</v>
      </c>
      <c r="AB306" s="40">
        <f>IF(AQ306="1",BH306,0)</f>
        <v>0</v>
      </c>
      <c r="AC306" s="40">
        <f>IF(AQ306="1",BI306,0)</f>
        <v>0</v>
      </c>
      <c r="AD306" s="40">
        <f>IF(AQ306="7",BH306,0)</f>
        <v>0</v>
      </c>
      <c r="AE306" s="40">
        <f>IF(AQ306="7",BI306,0)</f>
        <v>0</v>
      </c>
      <c r="AF306" s="40">
        <f>IF(AQ306="2",BH306,0)</f>
        <v>0</v>
      </c>
      <c r="AG306" s="40">
        <f>IF(AQ306="2",BI306,0)</f>
        <v>0</v>
      </c>
      <c r="AH306" s="40">
        <f>IF(AQ306="0",BJ306,0)</f>
        <v>0</v>
      </c>
      <c r="AI306" s="11" t="s">
        <v>255</v>
      </c>
      <c r="AJ306" s="40">
        <f>IF(AN306=0,L306,0)</f>
        <v>0</v>
      </c>
      <c r="AK306" s="40">
        <f>IF(AN306=15,L306,0)</f>
        <v>0</v>
      </c>
      <c r="AL306" s="40">
        <f>IF(AN306=21,L306,0)</f>
        <v>0</v>
      </c>
      <c r="AN306" s="40">
        <v>21</v>
      </c>
      <c r="AO306" s="40">
        <f>I306*0.583298526558953</f>
        <v>0</v>
      </c>
      <c r="AP306" s="40">
        <f>I306*(1-0.583298526558953)</f>
        <v>0</v>
      </c>
      <c r="AQ306" s="17" t="s">
        <v>1260</v>
      </c>
      <c r="AV306" s="40">
        <f>AW306+AX306</f>
        <v>0</v>
      </c>
      <c r="AW306" s="40">
        <f>H306*AO306</f>
        <v>0</v>
      </c>
      <c r="AX306" s="40">
        <f>H306*AP306</f>
        <v>0</v>
      </c>
      <c r="AY306" s="17" t="s">
        <v>1289</v>
      </c>
      <c r="AZ306" s="17" t="s">
        <v>811</v>
      </c>
      <c r="BA306" s="11" t="s">
        <v>921</v>
      </c>
      <c r="BC306" s="40">
        <f>AW306+AX306</f>
        <v>0</v>
      </c>
      <c r="BD306" s="40">
        <f>I306/(100-BE306)*100</f>
        <v>0</v>
      </c>
      <c r="BE306" s="40">
        <v>0</v>
      </c>
      <c r="BF306" s="40">
        <f>306</f>
        <v>306</v>
      </c>
      <c r="BH306" s="40">
        <f>H306*AO306</f>
        <v>0</v>
      </c>
      <c r="BI306" s="40">
        <f>H306*AP306</f>
        <v>0</v>
      </c>
      <c r="BJ306" s="40">
        <f>H306*I306</f>
        <v>0</v>
      </c>
      <c r="BK306" s="40"/>
      <c r="BL306" s="40">
        <v>93</v>
      </c>
    </row>
    <row r="307" spans="1:47" ht="15" customHeight="1">
      <c r="A307" s="24" t="s">
        <v>878</v>
      </c>
      <c r="B307" s="66" t="s">
        <v>1335</v>
      </c>
      <c r="C307" s="92" t="s">
        <v>933</v>
      </c>
      <c r="D307" s="92"/>
      <c r="E307" s="92"/>
      <c r="F307" s="92"/>
      <c r="G307" s="3" t="s">
        <v>1172</v>
      </c>
      <c r="H307" s="3" t="s">
        <v>1172</v>
      </c>
      <c r="I307" s="3" t="s">
        <v>1172</v>
      </c>
      <c r="J307" s="63">
        <f>SUM(J308:J314)</f>
        <v>0</v>
      </c>
      <c r="K307" s="63">
        <f>SUM(K308:K314)</f>
        <v>0</v>
      </c>
      <c r="L307" s="63">
        <f>SUM(L308:L314)</f>
        <v>0</v>
      </c>
      <c r="M307" s="4" t="s">
        <v>878</v>
      </c>
      <c r="AI307" s="11" t="s">
        <v>255</v>
      </c>
      <c r="AS307" s="63">
        <f>SUM(AJ308:AJ314)</f>
        <v>0</v>
      </c>
      <c r="AT307" s="63">
        <f>SUM(AK308:AK314)</f>
        <v>0</v>
      </c>
      <c r="AU307" s="63">
        <f>SUM(AL308:AL314)</f>
        <v>0</v>
      </c>
    </row>
    <row r="308" spans="1:64" ht="15" customHeight="1">
      <c r="A308" s="19" t="s">
        <v>527</v>
      </c>
      <c r="B308" s="59" t="s">
        <v>718</v>
      </c>
      <c r="C308" s="76" t="s">
        <v>1068</v>
      </c>
      <c r="D308" s="76"/>
      <c r="E308" s="76"/>
      <c r="F308" s="76"/>
      <c r="G308" s="59" t="s">
        <v>1041</v>
      </c>
      <c r="H308" s="40">
        <v>10</v>
      </c>
      <c r="I308" s="40">
        <v>0</v>
      </c>
      <c r="J308" s="40">
        <f aca="true" t="shared" si="184" ref="J308:J314">H308*AO308</f>
        <v>0</v>
      </c>
      <c r="K308" s="40">
        <f aca="true" t="shared" si="185" ref="K308:K314">H308*AP308</f>
        <v>0</v>
      </c>
      <c r="L308" s="40">
        <f aca="true" t="shared" si="186" ref="L308:L314">H308*I308</f>
        <v>0</v>
      </c>
      <c r="M308" s="69" t="s">
        <v>868</v>
      </c>
      <c r="Z308" s="40">
        <f aca="true" t="shared" si="187" ref="Z308:Z314">IF(AQ308="5",BJ308,0)</f>
        <v>0</v>
      </c>
      <c r="AB308" s="40">
        <f aca="true" t="shared" si="188" ref="AB308:AB314">IF(AQ308="1",BH308,0)</f>
        <v>0</v>
      </c>
      <c r="AC308" s="40">
        <f aca="true" t="shared" si="189" ref="AC308:AC314">IF(AQ308="1",BI308,0)</f>
        <v>0</v>
      </c>
      <c r="AD308" s="40">
        <f aca="true" t="shared" si="190" ref="AD308:AD314">IF(AQ308="7",BH308,0)</f>
        <v>0</v>
      </c>
      <c r="AE308" s="40">
        <f aca="true" t="shared" si="191" ref="AE308:AE314">IF(AQ308="7",BI308,0)</f>
        <v>0</v>
      </c>
      <c r="AF308" s="40">
        <f aca="true" t="shared" si="192" ref="AF308:AF314">IF(AQ308="2",BH308,0)</f>
        <v>0</v>
      </c>
      <c r="AG308" s="40">
        <f aca="true" t="shared" si="193" ref="AG308:AG314">IF(AQ308="2",BI308,0)</f>
        <v>0</v>
      </c>
      <c r="AH308" s="40">
        <f aca="true" t="shared" si="194" ref="AH308:AH314">IF(AQ308="0",BJ308,0)</f>
        <v>0</v>
      </c>
      <c r="AI308" s="11" t="s">
        <v>255</v>
      </c>
      <c r="AJ308" s="40">
        <f aca="true" t="shared" si="195" ref="AJ308:AJ314">IF(AN308=0,L308,0)</f>
        <v>0</v>
      </c>
      <c r="AK308" s="40">
        <f aca="true" t="shared" si="196" ref="AK308:AK314">IF(AN308=15,L308,0)</f>
        <v>0</v>
      </c>
      <c r="AL308" s="40">
        <f aca="true" t="shared" si="197" ref="AL308:AL314">IF(AN308=21,L308,0)</f>
        <v>0</v>
      </c>
      <c r="AN308" s="40">
        <v>21</v>
      </c>
      <c r="AO308" s="40">
        <f>I308*0.285292190060076</f>
        <v>0</v>
      </c>
      <c r="AP308" s="40">
        <f>I308*(1-0.285292190060076)</f>
        <v>0</v>
      </c>
      <c r="AQ308" s="17" t="s">
        <v>873</v>
      </c>
      <c r="AV308" s="40">
        <f aca="true" t="shared" si="198" ref="AV308:AV314">AW308+AX308</f>
        <v>0</v>
      </c>
      <c r="AW308" s="40">
        <f aca="true" t="shared" si="199" ref="AW308:AW314">H308*AO308</f>
        <v>0</v>
      </c>
      <c r="AX308" s="40">
        <f aca="true" t="shared" si="200" ref="AX308:AX314">H308*AP308</f>
        <v>0</v>
      </c>
      <c r="AY308" s="17" t="s">
        <v>1173</v>
      </c>
      <c r="AZ308" s="17" t="s">
        <v>811</v>
      </c>
      <c r="BA308" s="11" t="s">
        <v>921</v>
      </c>
      <c r="BC308" s="40">
        <f aca="true" t="shared" si="201" ref="BC308:BC314">AW308+AX308</f>
        <v>0</v>
      </c>
      <c r="BD308" s="40">
        <f aca="true" t="shared" si="202" ref="BD308:BD314">I308/(100-BE308)*100</f>
        <v>0</v>
      </c>
      <c r="BE308" s="40">
        <v>0</v>
      </c>
      <c r="BF308" s="40">
        <f>308</f>
        <v>308</v>
      </c>
      <c r="BH308" s="40">
        <f aca="true" t="shared" si="203" ref="BH308:BH314">H308*AO308</f>
        <v>0</v>
      </c>
      <c r="BI308" s="40">
        <f aca="true" t="shared" si="204" ref="BI308:BI314">H308*AP308</f>
        <v>0</v>
      </c>
      <c r="BJ308" s="40">
        <f aca="true" t="shared" si="205" ref="BJ308:BJ314">H308*I308</f>
        <v>0</v>
      </c>
      <c r="BK308" s="40"/>
      <c r="BL308" s="40"/>
    </row>
    <row r="309" spans="1:64" ht="15" customHeight="1">
      <c r="A309" s="19" t="s">
        <v>57</v>
      </c>
      <c r="B309" s="59" t="s">
        <v>1083</v>
      </c>
      <c r="C309" s="76" t="s">
        <v>1039</v>
      </c>
      <c r="D309" s="76"/>
      <c r="E309" s="76"/>
      <c r="F309" s="76"/>
      <c r="G309" s="59" t="s">
        <v>312</v>
      </c>
      <c r="H309" s="40">
        <v>4</v>
      </c>
      <c r="I309" s="40">
        <v>0</v>
      </c>
      <c r="J309" s="40">
        <f t="shared" si="184"/>
        <v>0</v>
      </c>
      <c r="K309" s="40">
        <f t="shared" si="185"/>
        <v>0</v>
      </c>
      <c r="L309" s="40">
        <f t="shared" si="186"/>
        <v>0</v>
      </c>
      <c r="M309" s="69" t="s">
        <v>868</v>
      </c>
      <c r="Z309" s="40">
        <f t="shared" si="187"/>
        <v>0</v>
      </c>
      <c r="AB309" s="40">
        <f t="shared" si="188"/>
        <v>0</v>
      </c>
      <c r="AC309" s="40">
        <f t="shared" si="189"/>
        <v>0</v>
      </c>
      <c r="AD309" s="40">
        <f t="shared" si="190"/>
        <v>0</v>
      </c>
      <c r="AE309" s="40">
        <f t="shared" si="191"/>
        <v>0</v>
      </c>
      <c r="AF309" s="40">
        <f t="shared" si="192"/>
        <v>0</v>
      </c>
      <c r="AG309" s="40">
        <f t="shared" si="193"/>
        <v>0</v>
      </c>
      <c r="AH309" s="40">
        <f t="shared" si="194"/>
        <v>0</v>
      </c>
      <c r="AI309" s="11" t="s">
        <v>255</v>
      </c>
      <c r="AJ309" s="40">
        <f t="shared" si="195"/>
        <v>0</v>
      </c>
      <c r="AK309" s="40">
        <f t="shared" si="196"/>
        <v>0</v>
      </c>
      <c r="AL309" s="40">
        <f t="shared" si="197"/>
        <v>0</v>
      </c>
      <c r="AN309" s="40">
        <v>21</v>
      </c>
      <c r="AO309" s="40">
        <f>I309*0</f>
        <v>0</v>
      </c>
      <c r="AP309" s="40">
        <f>I309*(1-0)</f>
        <v>0</v>
      </c>
      <c r="AQ309" s="17" t="s">
        <v>873</v>
      </c>
      <c r="AV309" s="40">
        <f t="shared" si="198"/>
        <v>0</v>
      </c>
      <c r="AW309" s="40">
        <f t="shared" si="199"/>
        <v>0</v>
      </c>
      <c r="AX309" s="40">
        <f t="shared" si="200"/>
        <v>0</v>
      </c>
      <c r="AY309" s="17" t="s">
        <v>1173</v>
      </c>
      <c r="AZ309" s="17" t="s">
        <v>811</v>
      </c>
      <c r="BA309" s="11" t="s">
        <v>921</v>
      </c>
      <c r="BC309" s="40">
        <f t="shared" si="201"/>
        <v>0</v>
      </c>
      <c r="BD309" s="40">
        <f t="shared" si="202"/>
        <v>0</v>
      </c>
      <c r="BE309" s="40">
        <v>0</v>
      </c>
      <c r="BF309" s="40">
        <f>309</f>
        <v>309</v>
      </c>
      <c r="BH309" s="40">
        <f t="shared" si="203"/>
        <v>0</v>
      </c>
      <c r="BI309" s="40">
        <f t="shared" si="204"/>
        <v>0</v>
      </c>
      <c r="BJ309" s="40">
        <f t="shared" si="205"/>
        <v>0</v>
      </c>
      <c r="BK309" s="40"/>
      <c r="BL309" s="40"/>
    </row>
    <row r="310" spans="1:64" ht="15" customHeight="1">
      <c r="A310" s="19" t="s">
        <v>241</v>
      </c>
      <c r="B310" s="59" t="s">
        <v>515</v>
      </c>
      <c r="C310" s="76" t="s">
        <v>481</v>
      </c>
      <c r="D310" s="76"/>
      <c r="E310" s="76"/>
      <c r="F310" s="76"/>
      <c r="G310" s="59" t="s">
        <v>312</v>
      </c>
      <c r="H310" s="40">
        <v>4</v>
      </c>
      <c r="I310" s="40">
        <v>0</v>
      </c>
      <c r="J310" s="40">
        <f t="shared" si="184"/>
        <v>0</v>
      </c>
      <c r="K310" s="40">
        <f t="shared" si="185"/>
        <v>0</v>
      </c>
      <c r="L310" s="40">
        <f t="shared" si="186"/>
        <v>0</v>
      </c>
      <c r="M310" s="69" t="s">
        <v>868</v>
      </c>
      <c r="Z310" s="40">
        <f t="shared" si="187"/>
        <v>0</v>
      </c>
      <c r="AB310" s="40">
        <f t="shared" si="188"/>
        <v>0</v>
      </c>
      <c r="AC310" s="40">
        <f t="shared" si="189"/>
        <v>0</v>
      </c>
      <c r="AD310" s="40">
        <f t="shared" si="190"/>
        <v>0</v>
      </c>
      <c r="AE310" s="40">
        <f t="shared" si="191"/>
        <v>0</v>
      </c>
      <c r="AF310" s="40">
        <f t="shared" si="192"/>
        <v>0</v>
      </c>
      <c r="AG310" s="40">
        <f t="shared" si="193"/>
        <v>0</v>
      </c>
      <c r="AH310" s="40">
        <f t="shared" si="194"/>
        <v>0</v>
      </c>
      <c r="AI310" s="11" t="s">
        <v>255</v>
      </c>
      <c r="AJ310" s="40">
        <f t="shared" si="195"/>
        <v>0</v>
      </c>
      <c r="AK310" s="40">
        <f t="shared" si="196"/>
        <v>0</v>
      </c>
      <c r="AL310" s="40">
        <f t="shared" si="197"/>
        <v>0</v>
      </c>
      <c r="AN310" s="40">
        <v>21</v>
      </c>
      <c r="AO310" s="40">
        <f>I310*1</f>
        <v>0</v>
      </c>
      <c r="AP310" s="40">
        <f>I310*(1-1)</f>
        <v>0</v>
      </c>
      <c r="AQ310" s="17" t="s">
        <v>1260</v>
      </c>
      <c r="AV310" s="40">
        <f t="shared" si="198"/>
        <v>0</v>
      </c>
      <c r="AW310" s="40">
        <f t="shared" si="199"/>
        <v>0</v>
      </c>
      <c r="AX310" s="40">
        <f t="shared" si="200"/>
        <v>0</v>
      </c>
      <c r="AY310" s="17" t="s">
        <v>1173</v>
      </c>
      <c r="AZ310" s="17" t="s">
        <v>811</v>
      </c>
      <c r="BA310" s="11" t="s">
        <v>921</v>
      </c>
      <c r="BC310" s="40">
        <f t="shared" si="201"/>
        <v>0</v>
      </c>
      <c r="BD310" s="40">
        <f t="shared" si="202"/>
        <v>0</v>
      </c>
      <c r="BE310" s="40">
        <v>0</v>
      </c>
      <c r="BF310" s="40">
        <f>310</f>
        <v>310</v>
      </c>
      <c r="BH310" s="40">
        <f t="shared" si="203"/>
        <v>0</v>
      </c>
      <c r="BI310" s="40">
        <f t="shared" si="204"/>
        <v>0</v>
      </c>
      <c r="BJ310" s="40">
        <f t="shared" si="205"/>
        <v>0</v>
      </c>
      <c r="BK310" s="40"/>
      <c r="BL310" s="40"/>
    </row>
    <row r="311" spans="1:64" ht="15" customHeight="1">
      <c r="A311" s="19" t="s">
        <v>287</v>
      </c>
      <c r="B311" s="59" t="s">
        <v>470</v>
      </c>
      <c r="C311" s="76" t="s">
        <v>1365</v>
      </c>
      <c r="D311" s="76"/>
      <c r="E311" s="76"/>
      <c r="F311" s="76"/>
      <c r="G311" s="59" t="s">
        <v>312</v>
      </c>
      <c r="H311" s="40">
        <v>12</v>
      </c>
      <c r="I311" s="40">
        <v>0</v>
      </c>
      <c r="J311" s="40">
        <f t="shared" si="184"/>
        <v>0</v>
      </c>
      <c r="K311" s="40">
        <f t="shared" si="185"/>
        <v>0</v>
      </c>
      <c r="L311" s="40">
        <f t="shared" si="186"/>
        <v>0</v>
      </c>
      <c r="M311" s="69" t="s">
        <v>868</v>
      </c>
      <c r="Z311" s="40">
        <f t="shared" si="187"/>
        <v>0</v>
      </c>
      <c r="AB311" s="40">
        <f t="shared" si="188"/>
        <v>0</v>
      </c>
      <c r="AC311" s="40">
        <f t="shared" si="189"/>
        <v>0</v>
      </c>
      <c r="AD311" s="40">
        <f t="shared" si="190"/>
        <v>0</v>
      </c>
      <c r="AE311" s="40">
        <f t="shared" si="191"/>
        <v>0</v>
      </c>
      <c r="AF311" s="40">
        <f t="shared" si="192"/>
        <v>0</v>
      </c>
      <c r="AG311" s="40">
        <f t="shared" si="193"/>
        <v>0</v>
      </c>
      <c r="AH311" s="40">
        <f t="shared" si="194"/>
        <v>0</v>
      </c>
      <c r="AI311" s="11" t="s">
        <v>255</v>
      </c>
      <c r="AJ311" s="40">
        <f t="shared" si="195"/>
        <v>0</v>
      </c>
      <c r="AK311" s="40">
        <f t="shared" si="196"/>
        <v>0</v>
      </c>
      <c r="AL311" s="40">
        <f t="shared" si="197"/>
        <v>0</v>
      </c>
      <c r="AN311" s="40">
        <v>21</v>
      </c>
      <c r="AO311" s="40">
        <f>I311*0</f>
        <v>0</v>
      </c>
      <c r="AP311" s="40">
        <f>I311*(1-0)</f>
        <v>0</v>
      </c>
      <c r="AQ311" s="17" t="s">
        <v>873</v>
      </c>
      <c r="AV311" s="40">
        <f t="shared" si="198"/>
        <v>0</v>
      </c>
      <c r="AW311" s="40">
        <f t="shared" si="199"/>
        <v>0</v>
      </c>
      <c r="AX311" s="40">
        <f t="shared" si="200"/>
        <v>0</v>
      </c>
      <c r="AY311" s="17" t="s">
        <v>1173</v>
      </c>
      <c r="AZ311" s="17" t="s">
        <v>811</v>
      </c>
      <c r="BA311" s="11" t="s">
        <v>921</v>
      </c>
      <c r="BC311" s="40">
        <f t="shared" si="201"/>
        <v>0</v>
      </c>
      <c r="BD311" s="40">
        <f t="shared" si="202"/>
        <v>0</v>
      </c>
      <c r="BE311" s="40">
        <v>0</v>
      </c>
      <c r="BF311" s="40">
        <f>311</f>
        <v>311</v>
      </c>
      <c r="BH311" s="40">
        <f t="shared" si="203"/>
        <v>0</v>
      </c>
      <c r="BI311" s="40">
        <f t="shared" si="204"/>
        <v>0</v>
      </c>
      <c r="BJ311" s="40">
        <f t="shared" si="205"/>
        <v>0</v>
      </c>
      <c r="BK311" s="40"/>
      <c r="BL311" s="40"/>
    </row>
    <row r="312" spans="1:64" ht="15" customHeight="1">
      <c r="A312" s="19" t="s">
        <v>233</v>
      </c>
      <c r="B312" s="59" t="s">
        <v>54</v>
      </c>
      <c r="C312" s="76" t="s">
        <v>169</v>
      </c>
      <c r="D312" s="76"/>
      <c r="E312" s="76"/>
      <c r="F312" s="76"/>
      <c r="G312" s="59" t="s">
        <v>312</v>
      </c>
      <c r="H312" s="40">
        <v>12</v>
      </c>
      <c r="I312" s="40">
        <v>0</v>
      </c>
      <c r="J312" s="40">
        <f t="shared" si="184"/>
        <v>0</v>
      </c>
      <c r="K312" s="40">
        <f t="shared" si="185"/>
        <v>0</v>
      </c>
      <c r="L312" s="40">
        <f t="shared" si="186"/>
        <v>0</v>
      </c>
      <c r="M312" s="69" t="s">
        <v>868</v>
      </c>
      <c r="Z312" s="40">
        <f t="shared" si="187"/>
        <v>0</v>
      </c>
      <c r="AB312" s="40">
        <f t="shared" si="188"/>
        <v>0</v>
      </c>
      <c r="AC312" s="40">
        <f t="shared" si="189"/>
        <v>0</v>
      </c>
      <c r="AD312" s="40">
        <f t="shared" si="190"/>
        <v>0</v>
      </c>
      <c r="AE312" s="40">
        <f t="shared" si="191"/>
        <v>0</v>
      </c>
      <c r="AF312" s="40">
        <f t="shared" si="192"/>
        <v>0</v>
      </c>
      <c r="AG312" s="40">
        <f t="shared" si="193"/>
        <v>0</v>
      </c>
      <c r="AH312" s="40">
        <f t="shared" si="194"/>
        <v>0</v>
      </c>
      <c r="AI312" s="11" t="s">
        <v>255</v>
      </c>
      <c r="AJ312" s="40">
        <f t="shared" si="195"/>
        <v>0</v>
      </c>
      <c r="AK312" s="40">
        <f t="shared" si="196"/>
        <v>0</v>
      </c>
      <c r="AL312" s="40">
        <f t="shared" si="197"/>
        <v>0</v>
      </c>
      <c r="AN312" s="40">
        <v>21</v>
      </c>
      <c r="AO312" s="40">
        <f>I312*1</f>
        <v>0</v>
      </c>
      <c r="AP312" s="40">
        <f>I312*(1-1)</f>
        <v>0</v>
      </c>
      <c r="AQ312" s="17" t="s">
        <v>1260</v>
      </c>
      <c r="AV312" s="40">
        <f t="shared" si="198"/>
        <v>0</v>
      </c>
      <c r="AW312" s="40">
        <f t="shared" si="199"/>
        <v>0</v>
      </c>
      <c r="AX312" s="40">
        <f t="shared" si="200"/>
        <v>0</v>
      </c>
      <c r="AY312" s="17" t="s">
        <v>1173</v>
      </c>
      <c r="AZ312" s="17" t="s">
        <v>811</v>
      </c>
      <c r="BA312" s="11" t="s">
        <v>921</v>
      </c>
      <c r="BC312" s="40">
        <f t="shared" si="201"/>
        <v>0</v>
      </c>
      <c r="BD312" s="40">
        <f t="shared" si="202"/>
        <v>0</v>
      </c>
      <c r="BE312" s="40">
        <v>0</v>
      </c>
      <c r="BF312" s="40">
        <f>312</f>
        <v>312</v>
      </c>
      <c r="BH312" s="40">
        <f t="shared" si="203"/>
        <v>0</v>
      </c>
      <c r="BI312" s="40">
        <f t="shared" si="204"/>
        <v>0</v>
      </c>
      <c r="BJ312" s="40">
        <f t="shared" si="205"/>
        <v>0</v>
      </c>
      <c r="BK312" s="40"/>
      <c r="BL312" s="40"/>
    </row>
    <row r="313" spans="1:64" ht="15" customHeight="1">
      <c r="A313" s="19" t="s">
        <v>382</v>
      </c>
      <c r="B313" s="59" t="s">
        <v>1095</v>
      </c>
      <c r="C313" s="76" t="s">
        <v>862</v>
      </c>
      <c r="D313" s="76"/>
      <c r="E313" s="76"/>
      <c r="F313" s="76"/>
      <c r="G313" s="59" t="s">
        <v>565</v>
      </c>
      <c r="H313" s="40">
        <v>2027.6935</v>
      </c>
      <c r="I313" s="40">
        <v>0</v>
      </c>
      <c r="J313" s="40">
        <f t="shared" si="184"/>
        <v>0</v>
      </c>
      <c r="K313" s="40">
        <f t="shared" si="185"/>
        <v>0</v>
      </c>
      <c r="L313" s="40">
        <f t="shared" si="186"/>
        <v>0</v>
      </c>
      <c r="M313" s="69" t="s">
        <v>868</v>
      </c>
      <c r="Z313" s="40">
        <f t="shared" si="187"/>
        <v>0</v>
      </c>
      <c r="AB313" s="40">
        <f t="shared" si="188"/>
        <v>0</v>
      </c>
      <c r="AC313" s="40">
        <f t="shared" si="189"/>
        <v>0</v>
      </c>
      <c r="AD313" s="40">
        <f t="shared" si="190"/>
        <v>0</v>
      </c>
      <c r="AE313" s="40">
        <f t="shared" si="191"/>
        <v>0</v>
      </c>
      <c r="AF313" s="40">
        <f t="shared" si="192"/>
        <v>0</v>
      </c>
      <c r="AG313" s="40">
        <f t="shared" si="193"/>
        <v>0</v>
      </c>
      <c r="AH313" s="40">
        <f t="shared" si="194"/>
        <v>0</v>
      </c>
      <c r="AI313" s="11" t="s">
        <v>255</v>
      </c>
      <c r="AJ313" s="40">
        <f t="shared" si="195"/>
        <v>0</v>
      </c>
      <c r="AK313" s="40">
        <f t="shared" si="196"/>
        <v>0</v>
      </c>
      <c r="AL313" s="40">
        <f t="shared" si="197"/>
        <v>0</v>
      </c>
      <c r="AN313" s="40">
        <v>21</v>
      </c>
      <c r="AO313" s="40">
        <f>I313*0</f>
        <v>0</v>
      </c>
      <c r="AP313" s="40">
        <f>I313*(1-0)</f>
        <v>0</v>
      </c>
      <c r="AQ313" s="17" t="s">
        <v>668</v>
      </c>
      <c r="AV313" s="40">
        <f t="shared" si="198"/>
        <v>0</v>
      </c>
      <c r="AW313" s="40">
        <f t="shared" si="199"/>
        <v>0</v>
      </c>
      <c r="AX313" s="40">
        <f t="shared" si="200"/>
        <v>0</v>
      </c>
      <c r="AY313" s="17" t="s">
        <v>1173</v>
      </c>
      <c r="AZ313" s="17" t="s">
        <v>811</v>
      </c>
      <c r="BA313" s="11" t="s">
        <v>921</v>
      </c>
      <c r="BC313" s="40">
        <f t="shared" si="201"/>
        <v>0</v>
      </c>
      <c r="BD313" s="40">
        <f t="shared" si="202"/>
        <v>0</v>
      </c>
      <c r="BE313" s="40">
        <v>0</v>
      </c>
      <c r="BF313" s="40">
        <f>313</f>
        <v>313</v>
      </c>
      <c r="BH313" s="40">
        <f t="shared" si="203"/>
        <v>0</v>
      </c>
      <c r="BI313" s="40">
        <f t="shared" si="204"/>
        <v>0</v>
      </c>
      <c r="BJ313" s="40">
        <f t="shared" si="205"/>
        <v>0</v>
      </c>
      <c r="BK313" s="40"/>
      <c r="BL313" s="40"/>
    </row>
    <row r="314" spans="1:64" ht="15" customHeight="1">
      <c r="A314" s="19" t="s">
        <v>636</v>
      </c>
      <c r="B314" s="59" t="s">
        <v>1384</v>
      </c>
      <c r="C314" s="76" t="s">
        <v>915</v>
      </c>
      <c r="D314" s="76"/>
      <c r="E314" s="76"/>
      <c r="F314" s="76"/>
      <c r="G314" s="59" t="s">
        <v>1197</v>
      </c>
      <c r="H314" s="40">
        <v>350</v>
      </c>
      <c r="I314" s="40">
        <v>0</v>
      </c>
      <c r="J314" s="40">
        <f t="shared" si="184"/>
        <v>0</v>
      </c>
      <c r="K314" s="40">
        <f t="shared" si="185"/>
        <v>0</v>
      </c>
      <c r="L314" s="40">
        <f t="shared" si="186"/>
        <v>0</v>
      </c>
      <c r="M314" s="69" t="s">
        <v>868</v>
      </c>
      <c r="Z314" s="40">
        <f t="shared" si="187"/>
        <v>0</v>
      </c>
      <c r="AB314" s="40">
        <f t="shared" si="188"/>
        <v>0</v>
      </c>
      <c r="AC314" s="40">
        <f t="shared" si="189"/>
        <v>0</v>
      </c>
      <c r="AD314" s="40">
        <f t="shared" si="190"/>
        <v>0</v>
      </c>
      <c r="AE314" s="40">
        <f t="shared" si="191"/>
        <v>0</v>
      </c>
      <c r="AF314" s="40">
        <f t="shared" si="192"/>
        <v>0</v>
      </c>
      <c r="AG314" s="40">
        <f t="shared" si="193"/>
        <v>0</v>
      </c>
      <c r="AH314" s="40">
        <f t="shared" si="194"/>
        <v>0</v>
      </c>
      <c r="AI314" s="11" t="s">
        <v>255</v>
      </c>
      <c r="AJ314" s="40">
        <f t="shared" si="195"/>
        <v>0</v>
      </c>
      <c r="AK314" s="40">
        <f t="shared" si="196"/>
        <v>0</v>
      </c>
      <c r="AL314" s="40">
        <f t="shared" si="197"/>
        <v>0</v>
      </c>
      <c r="AN314" s="40">
        <v>21</v>
      </c>
      <c r="AO314" s="40">
        <f>I314*1</f>
        <v>0</v>
      </c>
      <c r="AP314" s="40">
        <f>I314*(1-1)</f>
        <v>0</v>
      </c>
      <c r="AQ314" s="17" t="s">
        <v>1260</v>
      </c>
      <c r="AV314" s="40">
        <f t="shared" si="198"/>
        <v>0</v>
      </c>
      <c r="AW314" s="40">
        <f t="shared" si="199"/>
        <v>0</v>
      </c>
      <c r="AX314" s="40">
        <f t="shared" si="200"/>
        <v>0</v>
      </c>
      <c r="AY314" s="17" t="s">
        <v>1173</v>
      </c>
      <c r="AZ314" s="17" t="s">
        <v>811</v>
      </c>
      <c r="BA314" s="11" t="s">
        <v>921</v>
      </c>
      <c r="BC314" s="40">
        <f t="shared" si="201"/>
        <v>0</v>
      </c>
      <c r="BD314" s="40">
        <f t="shared" si="202"/>
        <v>0</v>
      </c>
      <c r="BE314" s="40">
        <v>0</v>
      </c>
      <c r="BF314" s="40">
        <f>314</f>
        <v>314</v>
      </c>
      <c r="BH314" s="40">
        <f t="shared" si="203"/>
        <v>0</v>
      </c>
      <c r="BI314" s="40">
        <f t="shared" si="204"/>
        <v>0</v>
      </c>
      <c r="BJ314" s="40">
        <f t="shared" si="205"/>
        <v>0</v>
      </c>
      <c r="BK314" s="40"/>
      <c r="BL314" s="40"/>
    </row>
    <row r="315" spans="1:13" ht="15" customHeight="1">
      <c r="A315" s="24" t="s">
        <v>878</v>
      </c>
      <c r="B315" s="66" t="s">
        <v>878</v>
      </c>
      <c r="C315" s="92" t="s">
        <v>1439</v>
      </c>
      <c r="D315" s="92"/>
      <c r="E315" s="92"/>
      <c r="F315" s="92"/>
      <c r="G315" s="3" t="s">
        <v>1172</v>
      </c>
      <c r="H315" s="3" t="s">
        <v>1172</v>
      </c>
      <c r="I315" s="3" t="s">
        <v>1172</v>
      </c>
      <c r="J315" s="63">
        <f>J316+J329+J332+J335+J338+J341+J343+J345+J351+J355</f>
        <v>0</v>
      </c>
      <c r="K315" s="63">
        <f>K316+K329+K332+K335+K338+K341+K343+K345+K351+K355</f>
        <v>0</v>
      </c>
      <c r="L315" s="63">
        <f>L316+L329+L332+L335+L338+L341+L343+L345+L351+L355</f>
        <v>0</v>
      </c>
      <c r="M315" s="4" t="s">
        <v>878</v>
      </c>
    </row>
    <row r="316" spans="1:47" ht="15" customHeight="1">
      <c r="A316" s="24" t="s">
        <v>878</v>
      </c>
      <c r="B316" s="66" t="s">
        <v>1054</v>
      </c>
      <c r="C316" s="92" t="s">
        <v>690</v>
      </c>
      <c r="D316" s="92"/>
      <c r="E316" s="92"/>
      <c r="F316" s="92"/>
      <c r="G316" s="3" t="s">
        <v>1172</v>
      </c>
      <c r="H316" s="3" t="s">
        <v>1172</v>
      </c>
      <c r="I316" s="3" t="s">
        <v>1172</v>
      </c>
      <c r="J316" s="63">
        <f>SUM(J317:J328)</f>
        <v>0</v>
      </c>
      <c r="K316" s="63">
        <f>SUM(K317:K328)</f>
        <v>0</v>
      </c>
      <c r="L316" s="63">
        <f>SUM(L317:L328)</f>
        <v>0</v>
      </c>
      <c r="M316" s="4" t="s">
        <v>878</v>
      </c>
      <c r="AI316" s="11" t="s">
        <v>1129</v>
      </c>
      <c r="AS316" s="63">
        <f>SUM(AJ317:AJ328)</f>
        <v>0</v>
      </c>
      <c r="AT316" s="63">
        <f>SUM(AK317:AK328)</f>
        <v>0</v>
      </c>
      <c r="AU316" s="63">
        <f>SUM(AL317:AL328)</f>
        <v>0</v>
      </c>
    </row>
    <row r="317" spans="1:64" ht="15" customHeight="1">
      <c r="A317" s="19" t="s">
        <v>942</v>
      </c>
      <c r="B317" s="59" t="s">
        <v>746</v>
      </c>
      <c r="C317" s="76" t="s">
        <v>627</v>
      </c>
      <c r="D317" s="76"/>
      <c r="E317" s="76"/>
      <c r="F317" s="76"/>
      <c r="G317" s="59" t="s">
        <v>1243</v>
      </c>
      <c r="H317" s="40">
        <v>170.2</v>
      </c>
      <c r="I317" s="40">
        <v>0</v>
      </c>
      <c r="J317" s="40">
        <f aca="true" t="shared" si="206" ref="J317:J328">H317*AO317</f>
        <v>0</v>
      </c>
      <c r="K317" s="40">
        <f aca="true" t="shared" si="207" ref="K317:K328">H317*AP317</f>
        <v>0</v>
      </c>
      <c r="L317" s="40">
        <f aca="true" t="shared" si="208" ref="L317:L328">H317*I317</f>
        <v>0</v>
      </c>
      <c r="M317" s="69" t="s">
        <v>868</v>
      </c>
      <c r="Z317" s="40">
        <f aca="true" t="shared" si="209" ref="Z317:Z328">IF(AQ317="5",BJ317,0)</f>
        <v>0</v>
      </c>
      <c r="AB317" s="40">
        <f aca="true" t="shared" si="210" ref="AB317:AB328">IF(AQ317="1",BH317,0)</f>
        <v>0</v>
      </c>
      <c r="AC317" s="40">
        <f aca="true" t="shared" si="211" ref="AC317:AC328">IF(AQ317="1",BI317,0)</f>
        <v>0</v>
      </c>
      <c r="AD317" s="40">
        <f aca="true" t="shared" si="212" ref="AD317:AD328">IF(AQ317="7",BH317,0)</f>
        <v>0</v>
      </c>
      <c r="AE317" s="40">
        <f aca="true" t="shared" si="213" ref="AE317:AE328">IF(AQ317="7",BI317,0)</f>
        <v>0</v>
      </c>
      <c r="AF317" s="40">
        <f aca="true" t="shared" si="214" ref="AF317:AF328">IF(AQ317="2",BH317,0)</f>
        <v>0</v>
      </c>
      <c r="AG317" s="40">
        <f aca="true" t="shared" si="215" ref="AG317:AG328">IF(AQ317="2",BI317,0)</f>
        <v>0</v>
      </c>
      <c r="AH317" s="40">
        <f aca="true" t="shared" si="216" ref="AH317:AH328">IF(AQ317="0",BJ317,0)</f>
        <v>0</v>
      </c>
      <c r="AI317" s="11" t="s">
        <v>1129</v>
      </c>
      <c r="AJ317" s="40">
        <f aca="true" t="shared" si="217" ref="AJ317:AJ328">IF(AN317=0,L317,0)</f>
        <v>0</v>
      </c>
      <c r="AK317" s="40">
        <f aca="true" t="shared" si="218" ref="AK317:AK328">IF(AN317=15,L317,0)</f>
        <v>0</v>
      </c>
      <c r="AL317" s="40">
        <f aca="true" t="shared" si="219" ref="AL317:AL328">IF(AN317=21,L317,0)</f>
        <v>0</v>
      </c>
      <c r="AN317" s="40">
        <v>21</v>
      </c>
      <c r="AO317" s="40">
        <f aca="true" t="shared" si="220" ref="AO317:AO325">I317*0</f>
        <v>0</v>
      </c>
      <c r="AP317" s="40">
        <f aca="true" t="shared" si="221" ref="AP317:AP325">I317*(1-0)</f>
        <v>0</v>
      </c>
      <c r="AQ317" s="17" t="s">
        <v>1260</v>
      </c>
      <c r="AV317" s="40">
        <f aca="true" t="shared" si="222" ref="AV317:AV328">AW317+AX317</f>
        <v>0</v>
      </c>
      <c r="AW317" s="40">
        <f aca="true" t="shared" si="223" ref="AW317:AW328">H317*AO317</f>
        <v>0</v>
      </c>
      <c r="AX317" s="40">
        <f aca="true" t="shared" si="224" ref="AX317:AX328">H317*AP317</f>
        <v>0</v>
      </c>
      <c r="AY317" s="17" t="s">
        <v>144</v>
      </c>
      <c r="AZ317" s="17" t="s">
        <v>596</v>
      </c>
      <c r="BA317" s="11" t="s">
        <v>1003</v>
      </c>
      <c r="BC317" s="40">
        <f aca="true" t="shared" si="225" ref="BC317:BC328">AW317+AX317</f>
        <v>0</v>
      </c>
      <c r="BD317" s="40">
        <f aca="true" t="shared" si="226" ref="BD317:BD328">I317/(100-BE317)*100</f>
        <v>0</v>
      </c>
      <c r="BE317" s="40">
        <v>0</v>
      </c>
      <c r="BF317" s="40">
        <f>317</f>
        <v>317</v>
      </c>
      <c r="BH317" s="40">
        <f aca="true" t="shared" si="227" ref="BH317:BH328">H317*AO317</f>
        <v>0</v>
      </c>
      <c r="BI317" s="40">
        <f aca="true" t="shared" si="228" ref="BI317:BI328">H317*AP317</f>
        <v>0</v>
      </c>
      <c r="BJ317" s="40">
        <f aca="true" t="shared" si="229" ref="BJ317:BJ328">H317*I317</f>
        <v>0</v>
      </c>
      <c r="BK317" s="40"/>
      <c r="BL317" s="40">
        <v>11</v>
      </c>
    </row>
    <row r="318" spans="1:64" ht="15" customHeight="1">
      <c r="A318" s="19" t="s">
        <v>166</v>
      </c>
      <c r="B318" s="59" t="s">
        <v>1424</v>
      </c>
      <c r="C318" s="76" t="s">
        <v>725</v>
      </c>
      <c r="D318" s="76"/>
      <c r="E318" s="76"/>
      <c r="F318" s="76"/>
      <c r="G318" s="59" t="s">
        <v>1243</v>
      </c>
      <c r="H318" s="40">
        <v>280.6</v>
      </c>
      <c r="I318" s="40">
        <v>0</v>
      </c>
      <c r="J318" s="40">
        <f t="shared" si="206"/>
        <v>0</v>
      </c>
      <c r="K318" s="40">
        <f t="shared" si="207"/>
        <v>0</v>
      </c>
      <c r="L318" s="40">
        <f t="shared" si="208"/>
        <v>0</v>
      </c>
      <c r="M318" s="69" t="s">
        <v>868</v>
      </c>
      <c r="Z318" s="40">
        <f t="shared" si="209"/>
        <v>0</v>
      </c>
      <c r="AB318" s="40">
        <f t="shared" si="210"/>
        <v>0</v>
      </c>
      <c r="AC318" s="40">
        <f t="shared" si="211"/>
        <v>0</v>
      </c>
      <c r="AD318" s="40">
        <f t="shared" si="212"/>
        <v>0</v>
      </c>
      <c r="AE318" s="40">
        <f t="shared" si="213"/>
        <v>0</v>
      </c>
      <c r="AF318" s="40">
        <f t="shared" si="214"/>
        <v>0</v>
      </c>
      <c r="AG318" s="40">
        <f t="shared" si="215"/>
        <v>0</v>
      </c>
      <c r="AH318" s="40">
        <f t="shared" si="216"/>
        <v>0</v>
      </c>
      <c r="AI318" s="11" t="s">
        <v>1129</v>
      </c>
      <c r="AJ318" s="40">
        <f t="shared" si="217"/>
        <v>0</v>
      </c>
      <c r="AK318" s="40">
        <f t="shared" si="218"/>
        <v>0</v>
      </c>
      <c r="AL318" s="40">
        <f t="shared" si="219"/>
        <v>0</v>
      </c>
      <c r="AN318" s="40">
        <v>21</v>
      </c>
      <c r="AO318" s="40">
        <f t="shared" si="220"/>
        <v>0</v>
      </c>
      <c r="AP318" s="40">
        <f t="shared" si="221"/>
        <v>0</v>
      </c>
      <c r="AQ318" s="17" t="s">
        <v>1260</v>
      </c>
      <c r="AV318" s="40">
        <f t="shared" si="222"/>
        <v>0</v>
      </c>
      <c r="AW318" s="40">
        <f t="shared" si="223"/>
        <v>0</v>
      </c>
      <c r="AX318" s="40">
        <f t="shared" si="224"/>
        <v>0</v>
      </c>
      <c r="AY318" s="17" t="s">
        <v>144</v>
      </c>
      <c r="AZ318" s="17" t="s">
        <v>596</v>
      </c>
      <c r="BA318" s="11" t="s">
        <v>1003</v>
      </c>
      <c r="BC318" s="40">
        <f t="shared" si="225"/>
        <v>0</v>
      </c>
      <c r="BD318" s="40">
        <f t="shared" si="226"/>
        <v>0</v>
      </c>
      <c r="BE318" s="40">
        <v>0</v>
      </c>
      <c r="BF318" s="40">
        <f>318</f>
        <v>318</v>
      </c>
      <c r="BH318" s="40">
        <f t="shared" si="227"/>
        <v>0</v>
      </c>
      <c r="BI318" s="40">
        <f t="shared" si="228"/>
        <v>0</v>
      </c>
      <c r="BJ318" s="40">
        <f t="shared" si="229"/>
        <v>0</v>
      </c>
      <c r="BK318" s="40"/>
      <c r="BL318" s="40">
        <v>11</v>
      </c>
    </row>
    <row r="319" spans="1:64" ht="15" customHeight="1">
      <c r="A319" s="19" t="s">
        <v>1265</v>
      </c>
      <c r="B319" s="59" t="s">
        <v>291</v>
      </c>
      <c r="C319" s="76" t="s">
        <v>413</v>
      </c>
      <c r="D319" s="76"/>
      <c r="E319" s="76"/>
      <c r="F319" s="76"/>
      <c r="G319" s="59" t="s">
        <v>565</v>
      </c>
      <c r="H319" s="40">
        <v>61.732</v>
      </c>
      <c r="I319" s="40">
        <v>0</v>
      </c>
      <c r="J319" s="40">
        <f t="shared" si="206"/>
        <v>0</v>
      </c>
      <c r="K319" s="40">
        <f t="shared" si="207"/>
        <v>0</v>
      </c>
      <c r="L319" s="40">
        <f t="shared" si="208"/>
        <v>0</v>
      </c>
      <c r="M319" s="69" t="s">
        <v>868</v>
      </c>
      <c r="Z319" s="40">
        <f t="shared" si="209"/>
        <v>0</v>
      </c>
      <c r="AB319" s="40">
        <f t="shared" si="210"/>
        <v>0</v>
      </c>
      <c r="AC319" s="40">
        <f t="shared" si="211"/>
        <v>0</v>
      </c>
      <c r="AD319" s="40">
        <f t="shared" si="212"/>
        <v>0</v>
      </c>
      <c r="AE319" s="40">
        <f t="shared" si="213"/>
        <v>0</v>
      </c>
      <c r="AF319" s="40">
        <f t="shared" si="214"/>
        <v>0</v>
      </c>
      <c r="AG319" s="40">
        <f t="shared" si="215"/>
        <v>0</v>
      </c>
      <c r="AH319" s="40">
        <f t="shared" si="216"/>
        <v>0</v>
      </c>
      <c r="AI319" s="11" t="s">
        <v>1129</v>
      </c>
      <c r="AJ319" s="40">
        <f t="shared" si="217"/>
        <v>0</v>
      </c>
      <c r="AK319" s="40">
        <f t="shared" si="218"/>
        <v>0</v>
      </c>
      <c r="AL319" s="40">
        <f t="shared" si="219"/>
        <v>0</v>
      </c>
      <c r="AN319" s="40">
        <v>21</v>
      </c>
      <c r="AO319" s="40">
        <f t="shared" si="220"/>
        <v>0</v>
      </c>
      <c r="AP319" s="40">
        <f t="shared" si="221"/>
        <v>0</v>
      </c>
      <c r="AQ319" s="17" t="s">
        <v>668</v>
      </c>
      <c r="AV319" s="40">
        <f t="shared" si="222"/>
        <v>0</v>
      </c>
      <c r="AW319" s="40">
        <f t="shared" si="223"/>
        <v>0</v>
      </c>
      <c r="AX319" s="40">
        <f t="shared" si="224"/>
        <v>0</v>
      </c>
      <c r="AY319" s="17" t="s">
        <v>144</v>
      </c>
      <c r="AZ319" s="17" t="s">
        <v>596</v>
      </c>
      <c r="BA319" s="11" t="s">
        <v>1003</v>
      </c>
      <c r="BC319" s="40">
        <f t="shared" si="225"/>
        <v>0</v>
      </c>
      <c r="BD319" s="40">
        <f t="shared" si="226"/>
        <v>0</v>
      </c>
      <c r="BE319" s="40">
        <v>0</v>
      </c>
      <c r="BF319" s="40">
        <f>319</f>
        <v>319</v>
      </c>
      <c r="BH319" s="40">
        <f t="shared" si="227"/>
        <v>0</v>
      </c>
      <c r="BI319" s="40">
        <f t="shared" si="228"/>
        <v>0</v>
      </c>
      <c r="BJ319" s="40">
        <f t="shared" si="229"/>
        <v>0</v>
      </c>
      <c r="BK319" s="40"/>
      <c r="BL319" s="40">
        <v>11</v>
      </c>
    </row>
    <row r="320" spans="1:64" ht="15" customHeight="1">
      <c r="A320" s="19" t="s">
        <v>68</v>
      </c>
      <c r="B320" s="59" t="s">
        <v>908</v>
      </c>
      <c r="C320" s="76" t="s">
        <v>1184</v>
      </c>
      <c r="D320" s="76"/>
      <c r="E320" s="76"/>
      <c r="F320" s="76"/>
      <c r="G320" s="59" t="s">
        <v>1041</v>
      </c>
      <c r="H320" s="40">
        <v>46</v>
      </c>
      <c r="I320" s="40">
        <v>0</v>
      </c>
      <c r="J320" s="40">
        <f t="shared" si="206"/>
        <v>0</v>
      </c>
      <c r="K320" s="40">
        <f t="shared" si="207"/>
        <v>0</v>
      </c>
      <c r="L320" s="40">
        <f t="shared" si="208"/>
        <v>0</v>
      </c>
      <c r="M320" s="69" t="s">
        <v>868</v>
      </c>
      <c r="Z320" s="40">
        <f t="shared" si="209"/>
        <v>0</v>
      </c>
      <c r="AB320" s="40">
        <f t="shared" si="210"/>
        <v>0</v>
      </c>
      <c r="AC320" s="40">
        <f t="shared" si="211"/>
        <v>0</v>
      </c>
      <c r="AD320" s="40">
        <f t="shared" si="212"/>
        <v>0</v>
      </c>
      <c r="AE320" s="40">
        <f t="shared" si="213"/>
        <v>0</v>
      </c>
      <c r="AF320" s="40">
        <f t="shared" si="214"/>
        <v>0</v>
      </c>
      <c r="AG320" s="40">
        <f t="shared" si="215"/>
        <v>0</v>
      </c>
      <c r="AH320" s="40">
        <f t="shared" si="216"/>
        <v>0</v>
      </c>
      <c r="AI320" s="11" t="s">
        <v>1129</v>
      </c>
      <c r="AJ320" s="40">
        <f t="shared" si="217"/>
        <v>0</v>
      </c>
      <c r="AK320" s="40">
        <f t="shared" si="218"/>
        <v>0</v>
      </c>
      <c r="AL320" s="40">
        <f t="shared" si="219"/>
        <v>0</v>
      </c>
      <c r="AN320" s="40">
        <v>21</v>
      </c>
      <c r="AO320" s="40">
        <f t="shared" si="220"/>
        <v>0</v>
      </c>
      <c r="AP320" s="40">
        <f t="shared" si="221"/>
        <v>0</v>
      </c>
      <c r="AQ320" s="17" t="s">
        <v>1260</v>
      </c>
      <c r="AV320" s="40">
        <f t="shared" si="222"/>
        <v>0</v>
      </c>
      <c r="AW320" s="40">
        <f t="shared" si="223"/>
        <v>0</v>
      </c>
      <c r="AX320" s="40">
        <f t="shared" si="224"/>
        <v>0</v>
      </c>
      <c r="AY320" s="17" t="s">
        <v>144</v>
      </c>
      <c r="AZ320" s="17" t="s">
        <v>596</v>
      </c>
      <c r="BA320" s="11" t="s">
        <v>1003</v>
      </c>
      <c r="BC320" s="40">
        <f t="shared" si="225"/>
        <v>0</v>
      </c>
      <c r="BD320" s="40">
        <f t="shared" si="226"/>
        <v>0</v>
      </c>
      <c r="BE320" s="40">
        <v>0</v>
      </c>
      <c r="BF320" s="40">
        <f>320</f>
        <v>320</v>
      </c>
      <c r="BH320" s="40">
        <f t="shared" si="227"/>
        <v>0</v>
      </c>
      <c r="BI320" s="40">
        <f t="shared" si="228"/>
        <v>0</v>
      </c>
      <c r="BJ320" s="40">
        <f t="shared" si="229"/>
        <v>0</v>
      </c>
      <c r="BK320" s="40"/>
      <c r="BL320" s="40">
        <v>11</v>
      </c>
    </row>
    <row r="321" spans="1:64" ht="15" customHeight="1">
      <c r="A321" s="19" t="s">
        <v>702</v>
      </c>
      <c r="B321" s="59" t="s">
        <v>1320</v>
      </c>
      <c r="C321" s="76" t="s">
        <v>520</v>
      </c>
      <c r="D321" s="76"/>
      <c r="E321" s="76"/>
      <c r="F321" s="76"/>
      <c r="G321" s="59" t="s">
        <v>1243</v>
      </c>
      <c r="H321" s="40">
        <v>23</v>
      </c>
      <c r="I321" s="40">
        <v>0</v>
      </c>
      <c r="J321" s="40">
        <f t="shared" si="206"/>
        <v>0</v>
      </c>
      <c r="K321" s="40">
        <f t="shared" si="207"/>
        <v>0</v>
      </c>
      <c r="L321" s="40">
        <f t="shared" si="208"/>
        <v>0</v>
      </c>
      <c r="M321" s="69" t="s">
        <v>868</v>
      </c>
      <c r="Z321" s="40">
        <f t="shared" si="209"/>
        <v>0</v>
      </c>
      <c r="AB321" s="40">
        <f t="shared" si="210"/>
        <v>0</v>
      </c>
      <c r="AC321" s="40">
        <f t="shared" si="211"/>
        <v>0</v>
      </c>
      <c r="AD321" s="40">
        <f t="shared" si="212"/>
        <v>0</v>
      </c>
      <c r="AE321" s="40">
        <f t="shared" si="213"/>
        <v>0</v>
      </c>
      <c r="AF321" s="40">
        <f t="shared" si="214"/>
        <v>0</v>
      </c>
      <c r="AG321" s="40">
        <f t="shared" si="215"/>
        <v>0</v>
      </c>
      <c r="AH321" s="40">
        <f t="shared" si="216"/>
        <v>0</v>
      </c>
      <c r="AI321" s="11" t="s">
        <v>1129</v>
      </c>
      <c r="AJ321" s="40">
        <f t="shared" si="217"/>
        <v>0</v>
      </c>
      <c r="AK321" s="40">
        <f t="shared" si="218"/>
        <v>0</v>
      </c>
      <c r="AL321" s="40">
        <f t="shared" si="219"/>
        <v>0</v>
      </c>
      <c r="AN321" s="40">
        <v>21</v>
      </c>
      <c r="AO321" s="40">
        <f t="shared" si="220"/>
        <v>0</v>
      </c>
      <c r="AP321" s="40">
        <f t="shared" si="221"/>
        <v>0</v>
      </c>
      <c r="AQ321" s="17" t="s">
        <v>1260</v>
      </c>
      <c r="AV321" s="40">
        <f t="shared" si="222"/>
        <v>0</v>
      </c>
      <c r="AW321" s="40">
        <f t="shared" si="223"/>
        <v>0</v>
      </c>
      <c r="AX321" s="40">
        <f t="shared" si="224"/>
        <v>0</v>
      </c>
      <c r="AY321" s="17" t="s">
        <v>144</v>
      </c>
      <c r="AZ321" s="17" t="s">
        <v>596</v>
      </c>
      <c r="BA321" s="11" t="s">
        <v>1003</v>
      </c>
      <c r="BC321" s="40">
        <f t="shared" si="225"/>
        <v>0</v>
      </c>
      <c r="BD321" s="40">
        <f t="shared" si="226"/>
        <v>0</v>
      </c>
      <c r="BE321" s="40">
        <v>0</v>
      </c>
      <c r="BF321" s="40">
        <f>321</f>
        <v>321</v>
      </c>
      <c r="BH321" s="40">
        <f t="shared" si="227"/>
        <v>0</v>
      </c>
      <c r="BI321" s="40">
        <f t="shared" si="228"/>
        <v>0</v>
      </c>
      <c r="BJ321" s="40">
        <f t="shared" si="229"/>
        <v>0</v>
      </c>
      <c r="BK321" s="40"/>
      <c r="BL321" s="40">
        <v>11</v>
      </c>
    </row>
    <row r="322" spans="1:64" ht="15" customHeight="1">
      <c r="A322" s="19" t="s">
        <v>1383</v>
      </c>
      <c r="B322" s="59" t="s">
        <v>311</v>
      </c>
      <c r="C322" s="76" t="s">
        <v>422</v>
      </c>
      <c r="D322" s="76"/>
      <c r="E322" s="76"/>
      <c r="F322" s="76"/>
      <c r="G322" s="59" t="s">
        <v>1041</v>
      </c>
      <c r="H322" s="40">
        <v>280.6</v>
      </c>
      <c r="I322" s="40">
        <v>0</v>
      </c>
      <c r="J322" s="40">
        <f t="shared" si="206"/>
        <v>0</v>
      </c>
      <c r="K322" s="40">
        <f t="shared" si="207"/>
        <v>0</v>
      </c>
      <c r="L322" s="40">
        <f t="shared" si="208"/>
        <v>0</v>
      </c>
      <c r="M322" s="69" t="s">
        <v>868</v>
      </c>
      <c r="Z322" s="40">
        <f t="shared" si="209"/>
        <v>0</v>
      </c>
      <c r="AB322" s="40">
        <f t="shared" si="210"/>
        <v>0</v>
      </c>
      <c r="AC322" s="40">
        <f t="shared" si="211"/>
        <v>0</v>
      </c>
      <c r="AD322" s="40">
        <f t="shared" si="212"/>
        <v>0</v>
      </c>
      <c r="AE322" s="40">
        <f t="shared" si="213"/>
        <v>0</v>
      </c>
      <c r="AF322" s="40">
        <f t="shared" si="214"/>
        <v>0</v>
      </c>
      <c r="AG322" s="40">
        <f t="shared" si="215"/>
        <v>0</v>
      </c>
      <c r="AH322" s="40">
        <f t="shared" si="216"/>
        <v>0</v>
      </c>
      <c r="AI322" s="11" t="s">
        <v>1129</v>
      </c>
      <c r="AJ322" s="40">
        <f t="shared" si="217"/>
        <v>0</v>
      </c>
      <c r="AK322" s="40">
        <f t="shared" si="218"/>
        <v>0</v>
      </c>
      <c r="AL322" s="40">
        <f t="shared" si="219"/>
        <v>0</v>
      </c>
      <c r="AN322" s="40">
        <v>21</v>
      </c>
      <c r="AO322" s="40">
        <f t="shared" si="220"/>
        <v>0</v>
      </c>
      <c r="AP322" s="40">
        <f t="shared" si="221"/>
        <v>0</v>
      </c>
      <c r="AQ322" s="17" t="s">
        <v>1260</v>
      </c>
      <c r="AV322" s="40">
        <f t="shared" si="222"/>
        <v>0</v>
      </c>
      <c r="AW322" s="40">
        <f t="shared" si="223"/>
        <v>0</v>
      </c>
      <c r="AX322" s="40">
        <f t="shared" si="224"/>
        <v>0</v>
      </c>
      <c r="AY322" s="17" t="s">
        <v>144</v>
      </c>
      <c r="AZ322" s="17" t="s">
        <v>596</v>
      </c>
      <c r="BA322" s="11" t="s">
        <v>1003</v>
      </c>
      <c r="BC322" s="40">
        <f t="shared" si="225"/>
        <v>0</v>
      </c>
      <c r="BD322" s="40">
        <f t="shared" si="226"/>
        <v>0</v>
      </c>
      <c r="BE322" s="40">
        <v>0</v>
      </c>
      <c r="BF322" s="40">
        <f>322</f>
        <v>322</v>
      </c>
      <c r="BH322" s="40">
        <f t="shared" si="227"/>
        <v>0</v>
      </c>
      <c r="BI322" s="40">
        <f t="shared" si="228"/>
        <v>0</v>
      </c>
      <c r="BJ322" s="40">
        <f t="shared" si="229"/>
        <v>0</v>
      </c>
      <c r="BK322" s="40"/>
      <c r="BL322" s="40">
        <v>11</v>
      </c>
    </row>
    <row r="323" spans="1:64" ht="15" customHeight="1">
      <c r="A323" s="19" t="s">
        <v>1059</v>
      </c>
      <c r="B323" s="59" t="s">
        <v>975</v>
      </c>
      <c r="C323" s="76" t="s">
        <v>657</v>
      </c>
      <c r="D323" s="76"/>
      <c r="E323" s="76"/>
      <c r="F323" s="76"/>
      <c r="G323" s="59" t="s">
        <v>565</v>
      </c>
      <c r="H323" s="40">
        <v>11.224</v>
      </c>
      <c r="I323" s="40">
        <v>0</v>
      </c>
      <c r="J323" s="40">
        <f t="shared" si="206"/>
        <v>0</v>
      </c>
      <c r="K323" s="40">
        <f t="shared" si="207"/>
        <v>0</v>
      </c>
      <c r="L323" s="40">
        <f t="shared" si="208"/>
        <v>0</v>
      </c>
      <c r="M323" s="69" t="s">
        <v>868</v>
      </c>
      <c r="Z323" s="40">
        <f t="shared" si="209"/>
        <v>0</v>
      </c>
      <c r="AB323" s="40">
        <f t="shared" si="210"/>
        <v>0</v>
      </c>
      <c r="AC323" s="40">
        <f t="shared" si="211"/>
        <v>0</v>
      </c>
      <c r="AD323" s="40">
        <f t="shared" si="212"/>
        <v>0</v>
      </c>
      <c r="AE323" s="40">
        <f t="shared" si="213"/>
        <v>0</v>
      </c>
      <c r="AF323" s="40">
        <f t="shared" si="214"/>
        <v>0</v>
      </c>
      <c r="AG323" s="40">
        <f t="shared" si="215"/>
        <v>0</v>
      </c>
      <c r="AH323" s="40">
        <f t="shared" si="216"/>
        <v>0</v>
      </c>
      <c r="AI323" s="11" t="s">
        <v>1129</v>
      </c>
      <c r="AJ323" s="40">
        <f t="shared" si="217"/>
        <v>0</v>
      </c>
      <c r="AK323" s="40">
        <f t="shared" si="218"/>
        <v>0</v>
      </c>
      <c r="AL323" s="40">
        <f t="shared" si="219"/>
        <v>0</v>
      </c>
      <c r="AN323" s="40">
        <v>21</v>
      </c>
      <c r="AO323" s="40">
        <f t="shared" si="220"/>
        <v>0</v>
      </c>
      <c r="AP323" s="40">
        <f t="shared" si="221"/>
        <v>0</v>
      </c>
      <c r="AQ323" s="17" t="s">
        <v>668</v>
      </c>
      <c r="AV323" s="40">
        <f t="shared" si="222"/>
        <v>0</v>
      </c>
      <c r="AW323" s="40">
        <f t="shared" si="223"/>
        <v>0</v>
      </c>
      <c r="AX323" s="40">
        <f t="shared" si="224"/>
        <v>0</v>
      </c>
      <c r="AY323" s="17" t="s">
        <v>144</v>
      </c>
      <c r="AZ323" s="17" t="s">
        <v>596</v>
      </c>
      <c r="BA323" s="11" t="s">
        <v>1003</v>
      </c>
      <c r="BC323" s="40">
        <f t="shared" si="225"/>
        <v>0</v>
      </c>
      <c r="BD323" s="40">
        <f t="shared" si="226"/>
        <v>0</v>
      </c>
      <c r="BE323" s="40">
        <v>0</v>
      </c>
      <c r="BF323" s="40">
        <f>323</f>
        <v>323</v>
      </c>
      <c r="BH323" s="40">
        <f t="shared" si="227"/>
        <v>0</v>
      </c>
      <c r="BI323" s="40">
        <f t="shared" si="228"/>
        <v>0</v>
      </c>
      <c r="BJ323" s="40">
        <f t="shared" si="229"/>
        <v>0</v>
      </c>
      <c r="BK323" s="40"/>
      <c r="BL323" s="40">
        <v>11</v>
      </c>
    </row>
    <row r="324" spans="1:64" ht="15" customHeight="1">
      <c r="A324" s="19" t="s">
        <v>822</v>
      </c>
      <c r="B324" s="59" t="s">
        <v>0</v>
      </c>
      <c r="C324" s="76" t="s">
        <v>322</v>
      </c>
      <c r="D324" s="76"/>
      <c r="E324" s="76"/>
      <c r="F324" s="76"/>
      <c r="G324" s="59" t="s">
        <v>565</v>
      </c>
      <c r="H324" s="40">
        <v>213.256</v>
      </c>
      <c r="I324" s="40">
        <v>0</v>
      </c>
      <c r="J324" s="40">
        <f t="shared" si="206"/>
        <v>0</v>
      </c>
      <c r="K324" s="40">
        <f t="shared" si="207"/>
        <v>0</v>
      </c>
      <c r="L324" s="40">
        <f t="shared" si="208"/>
        <v>0</v>
      </c>
      <c r="M324" s="69" t="s">
        <v>868</v>
      </c>
      <c r="Z324" s="40">
        <f t="shared" si="209"/>
        <v>0</v>
      </c>
      <c r="AB324" s="40">
        <f t="shared" si="210"/>
        <v>0</v>
      </c>
      <c r="AC324" s="40">
        <f t="shared" si="211"/>
        <v>0</v>
      </c>
      <c r="AD324" s="40">
        <f t="shared" si="212"/>
        <v>0</v>
      </c>
      <c r="AE324" s="40">
        <f t="shared" si="213"/>
        <v>0</v>
      </c>
      <c r="AF324" s="40">
        <f t="shared" si="214"/>
        <v>0</v>
      </c>
      <c r="AG324" s="40">
        <f t="shared" si="215"/>
        <v>0</v>
      </c>
      <c r="AH324" s="40">
        <f t="shared" si="216"/>
        <v>0</v>
      </c>
      <c r="AI324" s="11" t="s">
        <v>1129</v>
      </c>
      <c r="AJ324" s="40">
        <f t="shared" si="217"/>
        <v>0</v>
      </c>
      <c r="AK324" s="40">
        <f t="shared" si="218"/>
        <v>0</v>
      </c>
      <c r="AL324" s="40">
        <f t="shared" si="219"/>
        <v>0</v>
      </c>
      <c r="AN324" s="40">
        <v>21</v>
      </c>
      <c r="AO324" s="40">
        <f t="shared" si="220"/>
        <v>0</v>
      </c>
      <c r="AP324" s="40">
        <f t="shared" si="221"/>
        <v>0</v>
      </c>
      <c r="AQ324" s="17" t="s">
        <v>668</v>
      </c>
      <c r="AV324" s="40">
        <f t="shared" si="222"/>
        <v>0</v>
      </c>
      <c r="AW324" s="40">
        <f t="shared" si="223"/>
        <v>0</v>
      </c>
      <c r="AX324" s="40">
        <f t="shared" si="224"/>
        <v>0</v>
      </c>
      <c r="AY324" s="17" t="s">
        <v>144</v>
      </c>
      <c r="AZ324" s="17" t="s">
        <v>596</v>
      </c>
      <c r="BA324" s="11" t="s">
        <v>1003</v>
      </c>
      <c r="BC324" s="40">
        <f t="shared" si="225"/>
        <v>0</v>
      </c>
      <c r="BD324" s="40">
        <f t="shared" si="226"/>
        <v>0</v>
      </c>
      <c r="BE324" s="40">
        <v>0</v>
      </c>
      <c r="BF324" s="40">
        <f>324</f>
        <v>324</v>
      </c>
      <c r="BH324" s="40">
        <f t="shared" si="227"/>
        <v>0</v>
      </c>
      <c r="BI324" s="40">
        <f t="shared" si="228"/>
        <v>0</v>
      </c>
      <c r="BJ324" s="40">
        <f t="shared" si="229"/>
        <v>0</v>
      </c>
      <c r="BK324" s="40"/>
      <c r="BL324" s="40">
        <v>11</v>
      </c>
    </row>
    <row r="325" spans="1:64" ht="15" customHeight="1">
      <c r="A325" s="19" t="s">
        <v>206</v>
      </c>
      <c r="B325" s="59" t="s">
        <v>257</v>
      </c>
      <c r="C325" s="76" t="s">
        <v>60</v>
      </c>
      <c r="D325" s="76"/>
      <c r="E325" s="76"/>
      <c r="F325" s="76"/>
      <c r="G325" s="59" t="s">
        <v>565</v>
      </c>
      <c r="H325" s="40">
        <v>11.224</v>
      </c>
      <c r="I325" s="40">
        <v>0</v>
      </c>
      <c r="J325" s="40">
        <f t="shared" si="206"/>
        <v>0</v>
      </c>
      <c r="K325" s="40">
        <f t="shared" si="207"/>
        <v>0</v>
      </c>
      <c r="L325" s="40">
        <f t="shared" si="208"/>
        <v>0</v>
      </c>
      <c r="M325" s="69" t="s">
        <v>868</v>
      </c>
      <c r="Z325" s="40">
        <f t="shared" si="209"/>
        <v>0</v>
      </c>
      <c r="AB325" s="40">
        <f t="shared" si="210"/>
        <v>0</v>
      </c>
      <c r="AC325" s="40">
        <f t="shared" si="211"/>
        <v>0</v>
      </c>
      <c r="AD325" s="40">
        <f t="shared" si="212"/>
        <v>0</v>
      </c>
      <c r="AE325" s="40">
        <f t="shared" si="213"/>
        <v>0</v>
      </c>
      <c r="AF325" s="40">
        <f t="shared" si="214"/>
        <v>0</v>
      </c>
      <c r="AG325" s="40">
        <f t="shared" si="215"/>
        <v>0</v>
      </c>
      <c r="AH325" s="40">
        <f t="shared" si="216"/>
        <v>0</v>
      </c>
      <c r="AI325" s="11" t="s">
        <v>1129</v>
      </c>
      <c r="AJ325" s="40">
        <f t="shared" si="217"/>
        <v>0</v>
      </c>
      <c r="AK325" s="40">
        <f t="shared" si="218"/>
        <v>0</v>
      </c>
      <c r="AL325" s="40">
        <f t="shared" si="219"/>
        <v>0</v>
      </c>
      <c r="AN325" s="40">
        <v>21</v>
      </c>
      <c r="AO325" s="40">
        <f t="shared" si="220"/>
        <v>0</v>
      </c>
      <c r="AP325" s="40">
        <f t="shared" si="221"/>
        <v>0</v>
      </c>
      <c r="AQ325" s="17" t="s">
        <v>668</v>
      </c>
      <c r="AV325" s="40">
        <f t="shared" si="222"/>
        <v>0</v>
      </c>
      <c r="AW325" s="40">
        <f t="shared" si="223"/>
        <v>0</v>
      </c>
      <c r="AX325" s="40">
        <f t="shared" si="224"/>
        <v>0</v>
      </c>
      <c r="AY325" s="17" t="s">
        <v>144</v>
      </c>
      <c r="AZ325" s="17" t="s">
        <v>596</v>
      </c>
      <c r="BA325" s="11" t="s">
        <v>1003</v>
      </c>
      <c r="BC325" s="40">
        <f t="shared" si="225"/>
        <v>0</v>
      </c>
      <c r="BD325" s="40">
        <f t="shared" si="226"/>
        <v>0</v>
      </c>
      <c r="BE325" s="40">
        <v>0</v>
      </c>
      <c r="BF325" s="40">
        <f>325</f>
        <v>325</v>
      </c>
      <c r="BH325" s="40">
        <f t="shared" si="227"/>
        <v>0</v>
      </c>
      <c r="BI325" s="40">
        <f t="shared" si="228"/>
        <v>0</v>
      </c>
      <c r="BJ325" s="40">
        <f t="shared" si="229"/>
        <v>0</v>
      </c>
      <c r="BK325" s="40"/>
      <c r="BL325" s="40">
        <v>11</v>
      </c>
    </row>
    <row r="326" spans="1:64" ht="15" customHeight="1">
      <c r="A326" s="19" t="s">
        <v>585</v>
      </c>
      <c r="B326" s="59" t="s">
        <v>927</v>
      </c>
      <c r="C326" s="76" t="s">
        <v>796</v>
      </c>
      <c r="D326" s="76"/>
      <c r="E326" s="76"/>
      <c r="F326" s="76"/>
      <c r="G326" s="59" t="s">
        <v>1041</v>
      </c>
      <c r="H326" s="40">
        <v>69</v>
      </c>
      <c r="I326" s="40">
        <v>0</v>
      </c>
      <c r="J326" s="40">
        <f t="shared" si="206"/>
        <v>0</v>
      </c>
      <c r="K326" s="40">
        <f t="shared" si="207"/>
        <v>0</v>
      </c>
      <c r="L326" s="40">
        <f t="shared" si="208"/>
        <v>0</v>
      </c>
      <c r="M326" s="69" t="s">
        <v>868</v>
      </c>
      <c r="Z326" s="40">
        <f t="shared" si="209"/>
        <v>0</v>
      </c>
      <c r="AB326" s="40">
        <f t="shared" si="210"/>
        <v>0</v>
      </c>
      <c r="AC326" s="40">
        <f t="shared" si="211"/>
        <v>0</v>
      </c>
      <c r="AD326" s="40">
        <f t="shared" si="212"/>
        <v>0</v>
      </c>
      <c r="AE326" s="40">
        <f t="shared" si="213"/>
        <v>0</v>
      </c>
      <c r="AF326" s="40">
        <f t="shared" si="214"/>
        <v>0</v>
      </c>
      <c r="AG326" s="40">
        <f t="shared" si="215"/>
        <v>0</v>
      </c>
      <c r="AH326" s="40">
        <f t="shared" si="216"/>
        <v>0</v>
      </c>
      <c r="AI326" s="11" t="s">
        <v>1129</v>
      </c>
      <c r="AJ326" s="40">
        <f t="shared" si="217"/>
        <v>0</v>
      </c>
      <c r="AK326" s="40">
        <f t="shared" si="218"/>
        <v>0</v>
      </c>
      <c r="AL326" s="40">
        <f t="shared" si="219"/>
        <v>0</v>
      </c>
      <c r="AN326" s="40">
        <v>21</v>
      </c>
      <c r="AO326" s="40">
        <f>I326*0.352956636005256</f>
        <v>0</v>
      </c>
      <c r="AP326" s="40">
        <f>I326*(1-0.352956636005256)</f>
        <v>0</v>
      </c>
      <c r="AQ326" s="17" t="s">
        <v>1260</v>
      </c>
      <c r="AV326" s="40">
        <f t="shared" si="222"/>
        <v>0</v>
      </c>
      <c r="AW326" s="40">
        <f t="shared" si="223"/>
        <v>0</v>
      </c>
      <c r="AX326" s="40">
        <f t="shared" si="224"/>
        <v>0</v>
      </c>
      <c r="AY326" s="17" t="s">
        <v>144</v>
      </c>
      <c r="AZ326" s="17" t="s">
        <v>596</v>
      </c>
      <c r="BA326" s="11" t="s">
        <v>1003</v>
      </c>
      <c r="BC326" s="40">
        <f t="shared" si="225"/>
        <v>0</v>
      </c>
      <c r="BD326" s="40">
        <f t="shared" si="226"/>
        <v>0</v>
      </c>
      <c r="BE326" s="40">
        <v>0</v>
      </c>
      <c r="BF326" s="40">
        <f>326</f>
        <v>326</v>
      </c>
      <c r="BH326" s="40">
        <f t="shared" si="227"/>
        <v>0</v>
      </c>
      <c r="BI326" s="40">
        <f t="shared" si="228"/>
        <v>0</v>
      </c>
      <c r="BJ326" s="40">
        <f t="shared" si="229"/>
        <v>0</v>
      </c>
      <c r="BK326" s="40"/>
      <c r="BL326" s="40">
        <v>11</v>
      </c>
    </row>
    <row r="327" spans="1:64" ht="15" customHeight="1">
      <c r="A327" s="19" t="s">
        <v>1397</v>
      </c>
      <c r="B327" s="59" t="s">
        <v>1061</v>
      </c>
      <c r="C327" s="76" t="s">
        <v>1192</v>
      </c>
      <c r="D327" s="76"/>
      <c r="E327" s="76"/>
      <c r="F327" s="76"/>
      <c r="G327" s="59" t="s">
        <v>1041</v>
      </c>
      <c r="H327" s="40">
        <v>46</v>
      </c>
      <c r="I327" s="40">
        <v>0</v>
      </c>
      <c r="J327" s="40">
        <f t="shared" si="206"/>
        <v>0</v>
      </c>
      <c r="K327" s="40">
        <f t="shared" si="207"/>
        <v>0</v>
      </c>
      <c r="L327" s="40">
        <f t="shared" si="208"/>
        <v>0</v>
      </c>
      <c r="M327" s="69" t="s">
        <v>868</v>
      </c>
      <c r="Z327" s="40">
        <f t="shared" si="209"/>
        <v>0</v>
      </c>
      <c r="AB327" s="40">
        <f t="shared" si="210"/>
        <v>0</v>
      </c>
      <c r="AC327" s="40">
        <f t="shared" si="211"/>
        <v>0</v>
      </c>
      <c r="AD327" s="40">
        <f t="shared" si="212"/>
        <v>0</v>
      </c>
      <c r="AE327" s="40">
        <f t="shared" si="213"/>
        <v>0</v>
      </c>
      <c r="AF327" s="40">
        <f t="shared" si="214"/>
        <v>0</v>
      </c>
      <c r="AG327" s="40">
        <f t="shared" si="215"/>
        <v>0</v>
      </c>
      <c r="AH327" s="40">
        <f t="shared" si="216"/>
        <v>0</v>
      </c>
      <c r="AI327" s="11" t="s">
        <v>1129</v>
      </c>
      <c r="AJ327" s="40">
        <f t="shared" si="217"/>
        <v>0</v>
      </c>
      <c r="AK327" s="40">
        <f t="shared" si="218"/>
        <v>0</v>
      </c>
      <c r="AL327" s="40">
        <f t="shared" si="219"/>
        <v>0</v>
      </c>
      <c r="AN327" s="40">
        <v>21</v>
      </c>
      <c r="AO327" s="40">
        <f>I327*0.282187147688839</f>
        <v>0</v>
      </c>
      <c r="AP327" s="40">
        <f>I327*(1-0.282187147688839)</f>
        <v>0</v>
      </c>
      <c r="AQ327" s="17" t="s">
        <v>1260</v>
      </c>
      <c r="AV327" s="40">
        <f t="shared" si="222"/>
        <v>0</v>
      </c>
      <c r="AW327" s="40">
        <f t="shared" si="223"/>
        <v>0</v>
      </c>
      <c r="AX327" s="40">
        <f t="shared" si="224"/>
        <v>0</v>
      </c>
      <c r="AY327" s="17" t="s">
        <v>144</v>
      </c>
      <c r="AZ327" s="17" t="s">
        <v>596</v>
      </c>
      <c r="BA327" s="11" t="s">
        <v>1003</v>
      </c>
      <c r="BC327" s="40">
        <f t="shared" si="225"/>
        <v>0</v>
      </c>
      <c r="BD327" s="40">
        <f t="shared" si="226"/>
        <v>0</v>
      </c>
      <c r="BE327" s="40">
        <v>0</v>
      </c>
      <c r="BF327" s="40">
        <f>327</f>
        <v>327</v>
      </c>
      <c r="BH327" s="40">
        <f t="shared" si="227"/>
        <v>0</v>
      </c>
      <c r="BI327" s="40">
        <f t="shared" si="228"/>
        <v>0</v>
      </c>
      <c r="BJ327" s="40">
        <f t="shared" si="229"/>
        <v>0</v>
      </c>
      <c r="BK327" s="40"/>
      <c r="BL327" s="40">
        <v>11</v>
      </c>
    </row>
    <row r="328" spans="1:64" ht="15" customHeight="1">
      <c r="A328" s="19" t="s">
        <v>1340</v>
      </c>
      <c r="B328" s="59" t="s">
        <v>1268</v>
      </c>
      <c r="C328" s="76" t="s">
        <v>1082</v>
      </c>
      <c r="D328" s="76"/>
      <c r="E328" s="76"/>
      <c r="F328" s="76"/>
      <c r="G328" s="59" t="s">
        <v>1041</v>
      </c>
      <c r="H328" s="40">
        <v>22</v>
      </c>
      <c r="I328" s="40">
        <v>0</v>
      </c>
      <c r="J328" s="40">
        <f t="shared" si="206"/>
        <v>0</v>
      </c>
      <c r="K328" s="40">
        <f t="shared" si="207"/>
        <v>0</v>
      </c>
      <c r="L328" s="40">
        <f t="shared" si="208"/>
        <v>0</v>
      </c>
      <c r="M328" s="69" t="s">
        <v>868</v>
      </c>
      <c r="Z328" s="40">
        <f t="shared" si="209"/>
        <v>0</v>
      </c>
      <c r="AB328" s="40">
        <f t="shared" si="210"/>
        <v>0</v>
      </c>
      <c r="AC328" s="40">
        <f t="shared" si="211"/>
        <v>0</v>
      </c>
      <c r="AD328" s="40">
        <f t="shared" si="212"/>
        <v>0</v>
      </c>
      <c r="AE328" s="40">
        <f t="shared" si="213"/>
        <v>0</v>
      </c>
      <c r="AF328" s="40">
        <f t="shared" si="214"/>
        <v>0</v>
      </c>
      <c r="AG328" s="40">
        <f t="shared" si="215"/>
        <v>0</v>
      </c>
      <c r="AH328" s="40">
        <f t="shared" si="216"/>
        <v>0</v>
      </c>
      <c r="AI328" s="11" t="s">
        <v>1129</v>
      </c>
      <c r="AJ328" s="40">
        <f t="shared" si="217"/>
        <v>0</v>
      </c>
      <c r="AK328" s="40">
        <f t="shared" si="218"/>
        <v>0</v>
      </c>
      <c r="AL328" s="40">
        <f t="shared" si="219"/>
        <v>0</v>
      </c>
      <c r="AN328" s="40">
        <v>21</v>
      </c>
      <c r="AO328" s="40">
        <f>I328*0.256844997804501</f>
        <v>0</v>
      </c>
      <c r="AP328" s="40">
        <f>I328*(1-0.256844997804501)</f>
        <v>0</v>
      </c>
      <c r="AQ328" s="17" t="s">
        <v>1260</v>
      </c>
      <c r="AV328" s="40">
        <f t="shared" si="222"/>
        <v>0</v>
      </c>
      <c r="AW328" s="40">
        <f t="shared" si="223"/>
        <v>0</v>
      </c>
      <c r="AX328" s="40">
        <f t="shared" si="224"/>
        <v>0</v>
      </c>
      <c r="AY328" s="17" t="s">
        <v>144</v>
      </c>
      <c r="AZ328" s="17" t="s">
        <v>596</v>
      </c>
      <c r="BA328" s="11" t="s">
        <v>1003</v>
      </c>
      <c r="BC328" s="40">
        <f t="shared" si="225"/>
        <v>0</v>
      </c>
      <c r="BD328" s="40">
        <f t="shared" si="226"/>
        <v>0</v>
      </c>
      <c r="BE328" s="40">
        <v>0</v>
      </c>
      <c r="BF328" s="40">
        <f>328</f>
        <v>328</v>
      </c>
      <c r="BH328" s="40">
        <f t="shared" si="227"/>
        <v>0</v>
      </c>
      <c r="BI328" s="40">
        <f t="shared" si="228"/>
        <v>0</v>
      </c>
      <c r="BJ328" s="40">
        <f t="shared" si="229"/>
        <v>0</v>
      </c>
      <c r="BK328" s="40"/>
      <c r="BL328" s="40">
        <v>11</v>
      </c>
    </row>
    <row r="329" spans="1:47" ht="15" customHeight="1">
      <c r="A329" s="24" t="s">
        <v>878</v>
      </c>
      <c r="B329" s="66" t="s">
        <v>368</v>
      </c>
      <c r="C329" s="92" t="s">
        <v>13</v>
      </c>
      <c r="D329" s="92"/>
      <c r="E329" s="92"/>
      <c r="F329" s="92"/>
      <c r="G329" s="3" t="s">
        <v>1172</v>
      </c>
      <c r="H329" s="3" t="s">
        <v>1172</v>
      </c>
      <c r="I329" s="3" t="s">
        <v>1172</v>
      </c>
      <c r="J329" s="63">
        <f>SUM(J330:J331)</f>
        <v>0</v>
      </c>
      <c r="K329" s="63">
        <f>SUM(K330:K331)</f>
        <v>0</v>
      </c>
      <c r="L329" s="63">
        <f>SUM(L330:L331)</f>
        <v>0</v>
      </c>
      <c r="M329" s="4" t="s">
        <v>878</v>
      </c>
      <c r="AI329" s="11" t="s">
        <v>1129</v>
      </c>
      <c r="AS329" s="63">
        <f>SUM(AJ330:AJ331)</f>
        <v>0</v>
      </c>
      <c r="AT329" s="63">
        <f>SUM(AK330:AK331)</f>
        <v>0</v>
      </c>
      <c r="AU329" s="63">
        <f>SUM(AL330:AL331)</f>
        <v>0</v>
      </c>
    </row>
    <row r="330" spans="1:64" ht="15" customHeight="1">
      <c r="A330" s="19" t="s">
        <v>574</v>
      </c>
      <c r="B330" s="59" t="s">
        <v>1126</v>
      </c>
      <c r="C330" s="76" t="s">
        <v>180</v>
      </c>
      <c r="D330" s="76"/>
      <c r="E330" s="76"/>
      <c r="F330" s="76"/>
      <c r="G330" s="59" t="s">
        <v>1220</v>
      </c>
      <c r="H330" s="40">
        <v>657.8</v>
      </c>
      <c r="I330" s="40">
        <v>0</v>
      </c>
      <c r="J330" s="40">
        <f>H330*AO330</f>
        <v>0</v>
      </c>
      <c r="K330" s="40">
        <f>H330*AP330</f>
        <v>0</v>
      </c>
      <c r="L330" s="40">
        <f>H330*I330</f>
        <v>0</v>
      </c>
      <c r="M330" s="69" t="s">
        <v>868</v>
      </c>
      <c r="Z330" s="40">
        <f>IF(AQ330="5",BJ330,0)</f>
        <v>0</v>
      </c>
      <c r="AB330" s="40">
        <f>IF(AQ330="1",BH330,0)</f>
        <v>0</v>
      </c>
      <c r="AC330" s="40">
        <f>IF(AQ330="1",BI330,0)</f>
        <v>0</v>
      </c>
      <c r="AD330" s="40">
        <f>IF(AQ330="7",BH330,0)</f>
        <v>0</v>
      </c>
      <c r="AE330" s="40">
        <f>IF(AQ330="7",BI330,0)</f>
        <v>0</v>
      </c>
      <c r="AF330" s="40">
        <f>IF(AQ330="2",BH330,0)</f>
        <v>0</v>
      </c>
      <c r="AG330" s="40">
        <f>IF(AQ330="2",BI330,0)</f>
        <v>0</v>
      </c>
      <c r="AH330" s="40">
        <f>IF(AQ330="0",BJ330,0)</f>
        <v>0</v>
      </c>
      <c r="AI330" s="11" t="s">
        <v>1129</v>
      </c>
      <c r="AJ330" s="40">
        <f>IF(AN330=0,L330,0)</f>
        <v>0</v>
      </c>
      <c r="AK330" s="40">
        <f>IF(AN330=15,L330,0)</f>
        <v>0</v>
      </c>
      <c r="AL330" s="40">
        <f>IF(AN330=21,L330,0)</f>
        <v>0</v>
      </c>
      <c r="AN330" s="40">
        <v>21</v>
      </c>
      <c r="AO330" s="40">
        <f>I330*0</f>
        <v>0</v>
      </c>
      <c r="AP330" s="40">
        <f>I330*(1-0)</f>
        <v>0</v>
      </c>
      <c r="AQ330" s="17" t="s">
        <v>1260</v>
      </c>
      <c r="AV330" s="40">
        <f>AW330+AX330</f>
        <v>0</v>
      </c>
      <c r="AW330" s="40">
        <f>H330*AO330</f>
        <v>0</v>
      </c>
      <c r="AX330" s="40">
        <f>H330*AP330</f>
        <v>0</v>
      </c>
      <c r="AY330" s="17" t="s">
        <v>1141</v>
      </c>
      <c r="AZ330" s="17" t="s">
        <v>596</v>
      </c>
      <c r="BA330" s="11" t="s">
        <v>1003</v>
      </c>
      <c r="BC330" s="40">
        <f>AW330+AX330</f>
        <v>0</v>
      </c>
      <c r="BD330" s="40">
        <f>I330/(100-BE330)*100</f>
        <v>0</v>
      </c>
      <c r="BE330" s="40">
        <v>0</v>
      </c>
      <c r="BF330" s="40">
        <f>330</f>
        <v>330</v>
      </c>
      <c r="BH330" s="40">
        <f>H330*AO330</f>
        <v>0</v>
      </c>
      <c r="BI330" s="40">
        <f>H330*AP330</f>
        <v>0</v>
      </c>
      <c r="BJ330" s="40">
        <f>H330*I330</f>
        <v>0</v>
      </c>
      <c r="BK330" s="40"/>
      <c r="BL330" s="40">
        <v>13</v>
      </c>
    </row>
    <row r="331" spans="1:64" ht="15" customHeight="1">
      <c r="A331" s="19" t="s">
        <v>1330</v>
      </c>
      <c r="B331" s="59" t="s">
        <v>442</v>
      </c>
      <c r="C331" s="76" t="s">
        <v>1291</v>
      </c>
      <c r="D331" s="76"/>
      <c r="E331" s="76"/>
      <c r="F331" s="76"/>
      <c r="G331" s="59" t="s">
        <v>1220</v>
      </c>
      <c r="H331" s="40">
        <v>205.5</v>
      </c>
      <c r="I331" s="40">
        <v>0</v>
      </c>
      <c r="J331" s="40">
        <f>H331*AO331</f>
        <v>0</v>
      </c>
      <c r="K331" s="40">
        <f>H331*AP331</f>
        <v>0</v>
      </c>
      <c r="L331" s="40">
        <f>H331*I331</f>
        <v>0</v>
      </c>
      <c r="M331" s="69" t="s">
        <v>868</v>
      </c>
      <c r="Z331" s="40">
        <f>IF(AQ331="5",BJ331,0)</f>
        <v>0</v>
      </c>
      <c r="AB331" s="40">
        <f>IF(AQ331="1",BH331,0)</f>
        <v>0</v>
      </c>
      <c r="AC331" s="40">
        <f>IF(AQ331="1",BI331,0)</f>
        <v>0</v>
      </c>
      <c r="AD331" s="40">
        <f>IF(AQ331="7",BH331,0)</f>
        <v>0</v>
      </c>
      <c r="AE331" s="40">
        <f>IF(AQ331="7",BI331,0)</f>
        <v>0</v>
      </c>
      <c r="AF331" s="40">
        <f>IF(AQ331="2",BH331,0)</f>
        <v>0</v>
      </c>
      <c r="AG331" s="40">
        <f>IF(AQ331="2",BI331,0)</f>
        <v>0</v>
      </c>
      <c r="AH331" s="40">
        <f>IF(AQ331="0",BJ331,0)</f>
        <v>0</v>
      </c>
      <c r="AI331" s="11" t="s">
        <v>1129</v>
      </c>
      <c r="AJ331" s="40">
        <f>IF(AN331=0,L331,0)</f>
        <v>0</v>
      </c>
      <c r="AK331" s="40">
        <f>IF(AN331=15,L331,0)</f>
        <v>0</v>
      </c>
      <c r="AL331" s="40">
        <f>IF(AN331=21,L331,0)</f>
        <v>0</v>
      </c>
      <c r="AN331" s="40">
        <v>21</v>
      </c>
      <c r="AO331" s="40">
        <f>I331*0</f>
        <v>0</v>
      </c>
      <c r="AP331" s="40">
        <f>I331*(1-0)</f>
        <v>0</v>
      </c>
      <c r="AQ331" s="17" t="s">
        <v>1260</v>
      </c>
      <c r="AV331" s="40">
        <f>AW331+AX331</f>
        <v>0</v>
      </c>
      <c r="AW331" s="40">
        <f>H331*AO331</f>
        <v>0</v>
      </c>
      <c r="AX331" s="40">
        <f>H331*AP331</f>
        <v>0</v>
      </c>
      <c r="AY331" s="17" t="s">
        <v>1141</v>
      </c>
      <c r="AZ331" s="17" t="s">
        <v>596</v>
      </c>
      <c r="BA331" s="11" t="s">
        <v>1003</v>
      </c>
      <c r="BC331" s="40">
        <f>AW331+AX331</f>
        <v>0</v>
      </c>
      <c r="BD331" s="40">
        <f>I331/(100-BE331)*100</f>
        <v>0</v>
      </c>
      <c r="BE331" s="40">
        <v>0</v>
      </c>
      <c r="BF331" s="40">
        <f>331</f>
        <v>331</v>
      </c>
      <c r="BH331" s="40">
        <f>H331*AO331</f>
        <v>0</v>
      </c>
      <c r="BI331" s="40">
        <f>H331*AP331</f>
        <v>0</v>
      </c>
      <c r="BJ331" s="40">
        <f>H331*I331</f>
        <v>0</v>
      </c>
      <c r="BK331" s="40"/>
      <c r="BL331" s="40">
        <v>13</v>
      </c>
    </row>
    <row r="332" spans="1:47" ht="15" customHeight="1">
      <c r="A332" s="24" t="s">
        <v>878</v>
      </c>
      <c r="B332" s="66" t="s">
        <v>484</v>
      </c>
      <c r="C332" s="92" t="s">
        <v>1090</v>
      </c>
      <c r="D332" s="92"/>
      <c r="E332" s="92"/>
      <c r="F332" s="92"/>
      <c r="G332" s="3" t="s">
        <v>1172</v>
      </c>
      <c r="H332" s="3" t="s">
        <v>1172</v>
      </c>
      <c r="I332" s="3" t="s">
        <v>1172</v>
      </c>
      <c r="J332" s="63">
        <f>SUM(J333:J334)</f>
        <v>0</v>
      </c>
      <c r="K332" s="63">
        <f>SUM(K333:K334)</f>
        <v>0</v>
      </c>
      <c r="L332" s="63">
        <f>SUM(L333:L334)</f>
        <v>0</v>
      </c>
      <c r="M332" s="4" t="s">
        <v>878</v>
      </c>
      <c r="AI332" s="11" t="s">
        <v>1129</v>
      </c>
      <c r="AS332" s="63">
        <f>SUM(AJ333:AJ334)</f>
        <v>0</v>
      </c>
      <c r="AT332" s="63">
        <f>SUM(AK333:AK334)</f>
        <v>0</v>
      </c>
      <c r="AU332" s="63">
        <f>SUM(AL333:AL334)</f>
        <v>0</v>
      </c>
    </row>
    <row r="333" spans="1:64" ht="15" customHeight="1">
      <c r="A333" s="19" t="s">
        <v>678</v>
      </c>
      <c r="B333" s="59" t="s">
        <v>160</v>
      </c>
      <c r="C333" s="76" t="s">
        <v>384</v>
      </c>
      <c r="D333" s="76"/>
      <c r="E333" s="76"/>
      <c r="F333" s="76"/>
      <c r="G333" s="59" t="s">
        <v>1243</v>
      </c>
      <c r="H333" s="40">
        <v>1459.12</v>
      </c>
      <c r="I333" s="40">
        <v>0</v>
      </c>
      <c r="J333" s="40">
        <f>H333*AO333</f>
        <v>0</v>
      </c>
      <c r="K333" s="40">
        <f>H333*AP333</f>
        <v>0</v>
      </c>
      <c r="L333" s="40">
        <f>H333*I333</f>
        <v>0</v>
      </c>
      <c r="M333" s="69" t="s">
        <v>868</v>
      </c>
      <c r="Z333" s="40">
        <f>IF(AQ333="5",BJ333,0)</f>
        <v>0</v>
      </c>
      <c r="AB333" s="40">
        <f>IF(AQ333="1",BH333,0)</f>
        <v>0</v>
      </c>
      <c r="AC333" s="40">
        <f>IF(AQ333="1",BI333,0)</f>
        <v>0</v>
      </c>
      <c r="AD333" s="40">
        <f>IF(AQ333="7",BH333,0)</f>
        <v>0</v>
      </c>
      <c r="AE333" s="40">
        <f>IF(AQ333="7",BI333,0)</f>
        <v>0</v>
      </c>
      <c r="AF333" s="40">
        <f>IF(AQ333="2",BH333,0)</f>
        <v>0</v>
      </c>
      <c r="AG333" s="40">
        <f>IF(AQ333="2",BI333,0)</f>
        <v>0</v>
      </c>
      <c r="AH333" s="40">
        <f>IF(AQ333="0",BJ333,0)</f>
        <v>0</v>
      </c>
      <c r="AI333" s="11" t="s">
        <v>1129</v>
      </c>
      <c r="AJ333" s="40">
        <f>IF(AN333=0,L333,0)</f>
        <v>0</v>
      </c>
      <c r="AK333" s="40">
        <f>IF(AN333=15,L333,0)</f>
        <v>0</v>
      </c>
      <c r="AL333" s="40">
        <f>IF(AN333=21,L333,0)</f>
        <v>0</v>
      </c>
      <c r="AN333" s="40">
        <v>21</v>
      </c>
      <c r="AO333" s="40">
        <f>I333*0.0997231833910035</f>
        <v>0</v>
      </c>
      <c r="AP333" s="40">
        <f>I333*(1-0.0997231833910035)</f>
        <v>0</v>
      </c>
      <c r="AQ333" s="17" t="s">
        <v>1260</v>
      </c>
      <c r="AV333" s="40">
        <f>AW333+AX333</f>
        <v>0</v>
      </c>
      <c r="AW333" s="40">
        <f>H333*AO333</f>
        <v>0</v>
      </c>
      <c r="AX333" s="40">
        <f>H333*AP333</f>
        <v>0</v>
      </c>
      <c r="AY333" s="17" t="s">
        <v>894</v>
      </c>
      <c r="AZ333" s="17" t="s">
        <v>596</v>
      </c>
      <c r="BA333" s="11" t="s">
        <v>1003</v>
      </c>
      <c r="BC333" s="40">
        <f>AW333+AX333</f>
        <v>0</v>
      </c>
      <c r="BD333" s="40">
        <f>I333/(100-BE333)*100</f>
        <v>0</v>
      </c>
      <c r="BE333" s="40">
        <v>0</v>
      </c>
      <c r="BF333" s="40">
        <f>333</f>
        <v>333</v>
      </c>
      <c r="BH333" s="40">
        <f>H333*AO333</f>
        <v>0</v>
      </c>
      <c r="BI333" s="40">
        <f>H333*AP333</f>
        <v>0</v>
      </c>
      <c r="BJ333" s="40">
        <f>H333*I333</f>
        <v>0</v>
      </c>
      <c r="BK333" s="40"/>
      <c r="BL333" s="40">
        <v>15</v>
      </c>
    </row>
    <row r="334" spans="1:64" ht="15" customHeight="1">
      <c r="A334" s="19" t="s">
        <v>956</v>
      </c>
      <c r="B334" s="59" t="s">
        <v>467</v>
      </c>
      <c r="C334" s="76" t="s">
        <v>469</v>
      </c>
      <c r="D334" s="76"/>
      <c r="E334" s="76"/>
      <c r="F334" s="76"/>
      <c r="G334" s="59" t="s">
        <v>1243</v>
      </c>
      <c r="H334" s="40">
        <v>1459.12</v>
      </c>
      <c r="I334" s="40">
        <v>0</v>
      </c>
      <c r="J334" s="40">
        <f>H334*AO334</f>
        <v>0</v>
      </c>
      <c r="K334" s="40">
        <f>H334*AP334</f>
        <v>0</v>
      </c>
      <c r="L334" s="40">
        <f>H334*I334</f>
        <v>0</v>
      </c>
      <c r="M334" s="69" t="s">
        <v>868</v>
      </c>
      <c r="Z334" s="40">
        <f>IF(AQ334="5",BJ334,0)</f>
        <v>0</v>
      </c>
      <c r="AB334" s="40">
        <f>IF(AQ334="1",BH334,0)</f>
        <v>0</v>
      </c>
      <c r="AC334" s="40">
        <f>IF(AQ334="1",BI334,0)</f>
        <v>0</v>
      </c>
      <c r="AD334" s="40">
        <f>IF(AQ334="7",BH334,0)</f>
        <v>0</v>
      </c>
      <c r="AE334" s="40">
        <f>IF(AQ334="7",BI334,0)</f>
        <v>0</v>
      </c>
      <c r="AF334" s="40">
        <f>IF(AQ334="2",BH334,0)</f>
        <v>0</v>
      </c>
      <c r="AG334" s="40">
        <f>IF(AQ334="2",BI334,0)</f>
        <v>0</v>
      </c>
      <c r="AH334" s="40">
        <f>IF(AQ334="0",BJ334,0)</f>
        <v>0</v>
      </c>
      <c r="AI334" s="11" t="s">
        <v>1129</v>
      </c>
      <c r="AJ334" s="40">
        <f>IF(AN334=0,L334,0)</f>
        <v>0</v>
      </c>
      <c r="AK334" s="40">
        <f>IF(AN334=15,L334,0)</f>
        <v>0</v>
      </c>
      <c r="AL334" s="40">
        <f>IF(AN334=21,L334,0)</f>
        <v>0</v>
      </c>
      <c r="AN334" s="40">
        <v>21</v>
      </c>
      <c r="AO334" s="40">
        <f>I334*0</f>
        <v>0</v>
      </c>
      <c r="AP334" s="40">
        <f>I334*(1-0)</f>
        <v>0</v>
      </c>
      <c r="AQ334" s="17" t="s">
        <v>1260</v>
      </c>
      <c r="AV334" s="40">
        <f>AW334+AX334</f>
        <v>0</v>
      </c>
      <c r="AW334" s="40">
        <f>H334*AO334</f>
        <v>0</v>
      </c>
      <c r="AX334" s="40">
        <f>H334*AP334</f>
        <v>0</v>
      </c>
      <c r="AY334" s="17" t="s">
        <v>894</v>
      </c>
      <c r="AZ334" s="17" t="s">
        <v>596</v>
      </c>
      <c r="BA334" s="11" t="s">
        <v>1003</v>
      </c>
      <c r="BC334" s="40">
        <f>AW334+AX334</f>
        <v>0</v>
      </c>
      <c r="BD334" s="40">
        <f>I334/(100-BE334)*100</f>
        <v>0</v>
      </c>
      <c r="BE334" s="40">
        <v>0</v>
      </c>
      <c r="BF334" s="40">
        <f>334</f>
        <v>334</v>
      </c>
      <c r="BH334" s="40">
        <f>H334*AO334</f>
        <v>0</v>
      </c>
      <c r="BI334" s="40">
        <f>H334*AP334</f>
        <v>0</v>
      </c>
      <c r="BJ334" s="40">
        <f>H334*I334</f>
        <v>0</v>
      </c>
      <c r="BK334" s="40"/>
      <c r="BL334" s="40">
        <v>15</v>
      </c>
    </row>
    <row r="335" spans="1:47" ht="15" customHeight="1">
      <c r="A335" s="24" t="s">
        <v>878</v>
      </c>
      <c r="B335" s="66" t="s">
        <v>123</v>
      </c>
      <c r="C335" s="92" t="s">
        <v>1052</v>
      </c>
      <c r="D335" s="92"/>
      <c r="E335" s="92"/>
      <c r="F335" s="92"/>
      <c r="G335" s="3" t="s">
        <v>1172</v>
      </c>
      <c r="H335" s="3" t="s">
        <v>1172</v>
      </c>
      <c r="I335" s="3" t="s">
        <v>1172</v>
      </c>
      <c r="J335" s="63">
        <f>SUM(J336:J337)</f>
        <v>0</v>
      </c>
      <c r="K335" s="63">
        <f>SUM(K336:K337)</f>
        <v>0</v>
      </c>
      <c r="L335" s="63">
        <f>SUM(L336:L337)</f>
        <v>0</v>
      </c>
      <c r="M335" s="4" t="s">
        <v>878</v>
      </c>
      <c r="AI335" s="11" t="s">
        <v>1129</v>
      </c>
      <c r="AS335" s="63">
        <f>SUM(AJ336:AJ337)</f>
        <v>0</v>
      </c>
      <c r="AT335" s="63">
        <f>SUM(AK336:AK337)</f>
        <v>0</v>
      </c>
      <c r="AU335" s="63">
        <f>SUM(AL336:AL337)</f>
        <v>0</v>
      </c>
    </row>
    <row r="336" spans="1:64" ht="15" customHeight="1">
      <c r="A336" s="19" t="s">
        <v>559</v>
      </c>
      <c r="B336" s="59" t="s">
        <v>20</v>
      </c>
      <c r="C336" s="76" t="s">
        <v>1058</v>
      </c>
      <c r="D336" s="76"/>
      <c r="E336" s="76"/>
      <c r="F336" s="76"/>
      <c r="G336" s="59" t="s">
        <v>1220</v>
      </c>
      <c r="H336" s="40">
        <v>37.89</v>
      </c>
      <c r="I336" s="40">
        <v>0</v>
      </c>
      <c r="J336" s="40">
        <f>H336*AO336</f>
        <v>0</v>
      </c>
      <c r="K336" s="40">
        <f>H336*AP336</f>
        <v>0</v>
      </c>
      <c r="L336" s="40">
        <f>H336*I336</f>
        <v>0</v>
      </c>
      <c r="M336" s="69" t="s">
        <v>868</v>
      </c>
      <c r="Z336" s="40">
        <f>IF(AQ336="5",BJ336,0)</f>
        <v>0</v>
      </c>
      <c r="AB336" s="40">
        <f>IF(AQ336="1",BH336,0)</f>
        <v>0</v>
      </c>
      <c r="AC336" s="40">
        <f>IF(AQ336="1",BI336,0)</f>
        <v>0</v>
      </c>
      <c r="AD336" s="40">
        <f>IF(AQ336="7",BH336,0)</f>
        <v>0</v>
      </c>
      <c r="AE336" s="40">
        <f>IF(AQ336="7",BI336,0)</f>
        <v>0</v>
      </c>
      <c r="AF336" s="40">
        <f>IF(AQ336="2",BH336,0)</f>
        <v>0</v>
      </c>
      <c r="AG336" s="40">
        <f>IF(AQ336="2",BI336,0)</f>
        <v>0</v>
      </c>
      <c r="AH336" s="40">
        <f>IF(AQ336="0",BJ336,0)</f>
        <v>0</v>
      </c>
      <c r="AI336" s="11" t="s">
        <v>1129</v>
      </c>
      <c r="AJ336" s="40">
        <f>IF(AN336=0,L336,0)</f>
        <v>0</v>
      </c>
      <c r="AK336" s="40">
        <f>IF(AN336=15,L336,0)</f>
        <v>0</v>
      </c>
      <c r="AL336" s="40">
        <f>IF(AN336=21,L336,0)</f>
        <v>0</v>
      </c>
      <c r="AN336" s="40">
        <v>21</v>
      </c>
      <c r="AO336" s="40">
        <f>I336*0</f>
        <v>0</v>
      </c>
      <c r="AP336" s="40">
        <f>I336*(1-0)</f>
        <v>0</v>
      </c>
      <c r="AQ336" s="17" t="s">
        <v>1260</v>
      </c>
      <c r="AV336" s="40">
        <f>AW336+AX336</f>
        <v>0</v>
      </c>
      <c r="AW336" s="40">
        <f>H336*AO336</f>
        <v>0</v>
      </c>
      <c r="AX336" s="40">
        <f>H336*AP336</f>
        <v>0</v>
      </c>
      <c r="AY336" s="17" t="s">
        <v>1175</v>
      </c>
      <c r="AZ336" s="17" t="s">
        <v>596</v>
      </c>
      <c r="BA336" s="11" t="s">
        <v>1003</v>
      </c>
      <c r="BC336" s="40">
        <f>AW336+AX336</f>
        <v>0</v>
      </c>
      <c r="BD336" s="40">
        <f>I336/(100-BE336)*100</f>
        <v>0</v>
      </c>
      <c r="BE336" s="40">
        <v>0</v>
      </c>
      <c r="BF336" s="40">
        <f>336</f>
        <v>336</v>
      </c>
      <c r="BH336" s="40">
        <f>H336*AO336</f>
        <v>0</v>
      </c>
      <c r="BI336" s="40">
        <f>H336*AP336</f>
        <v>0</v>
      </c>
      <c r="BJ336" s="40">
        <f>H336*I336</f>
        <v>0</v>
      </c>
      <c r="BK336" s="40"/>
      <c r="BL336" s="40">
        <v>16</v>
      </c>
    </row>
    <row r="337" spans="1:64" ht="15" customHeight="1">
      <c r="A337" s="19" t="s">
        <v>1254</v>
      </c>
      <c r="B337" s="59" t="s">
        <v>572</v>
      </c>
      <c r="C337" s="76" t="s">
        <v>677</v>
      </c>
      <c r="D337" s="76"/>
      <c r="E337" s="76"/>
      <c r="F337" s="76"/>
      <c r="G337" s="59" t="s">
        <v>1220</v>
      </c>
      <c r="H337" s="40">
        <v>378.9</v>
      </c>
      <c r="I337" s="40">
        <v>0</v>
      </c>
      <c r="J337" s="40">
        <f>H337*AO337</f>
        <v>0</v>
      </c>
      <c r="K337" s="40">
        <f>H337*AP337</f>
        <v>0</v>
      </c>
      <c r="L337" s="40">
        <f>H337*I337</f>
        <v>0</v>
      </c>
      <c r="M337" s="69" t="s">
        <v>868</v>
      </c>
      <c r="Z337" s="40">
        <f>IF(AQ337="5",BJ337,0)</f>
        <v>0</v>
      </c>
      <c r="AB337" s="40">
        <f>IF(AQ337="1",BH337,0)</f>
        <v>0</v>
      </c>
      <c r="AC337" s="40">
        <f>IF(AQ337="1",BI337,0)</f>
        <v>0</v>
      </c>
      <c r="AD337" s="40">
        <f>IF(AQ337="7",BH337,0)</f>
        <v>0</v>
      </c>
      <c r="AE337" s="40">
        <f>IF(AQ337="7",BI337,0)</f>
        <v>0</v>
      </c>
      <c r="AF337" s="40">
        <f>IF(AQ337="2",BH337,0)</f>
        <v>0</v>
      </c>
      <c r="AG337" s="40">
        <f>IF(AQ337="2",BI337,0)</f>
        <v>0</v>
      </c>
      <c r="AH337" s="40">
        <f>IF(AQ337="0",BJ337,0)</f>
        <v>0</v>
      </c>
      <c r="AI337" s="11" t="s">
        <v>1129</v>
      </c>
      <c r="AJ337" s="40">
        <f>IF(AN337=0,L337,0)</f>
        <v>0</v>
      </c>
      <c r="AK337" s="40">
        <f>IF(AN337=15,L337,0)</f>
        <v>0</v>
      </c>
      <c r="AL337" s="40">
        <f>IF(AN337=21,L337,0)</f>
        <v>0</v>
      </c>
      <c r="AN337" s="40">
        <v>21</v>
      </c>
      <c r="AO337" s="40">
        <f>I337*0</f>
        <v>0</v>
      </c>
      <c r="AP337" s="40">
        <f>I337*(1-0)</f>
        <v>0</v>
      </c>
      <c r="AQ337" s="17" t="s">
        <v>1260</v>
      </c>
      <c r="AV337" s="40">
        <f>AW337+AX337</f>
        <v>0</v>
      </c>
      <c r="AW337" s="40">
        <f>H337*AO337</f>
        <v>0</v>
      </c>
      <c r="AX337" s="40">
        <f>H337*AP337</f>
        <v>0</v>
      </c>
      <c r="AY337" s="17" t="s">
        <v>1175</v>
      </c>
      <c r="AZ337" s="17" t="s">
        <v>596</v>
      </c>
      <c r="BA337" s="11" t="s">
        <v>1003</v>
      </c>
      <c r="BC337" s="40">
        <f>AW337+AX337</f>
        <v>0</v>
      </c>
      <c r="BD337" s="40">
        <f>I337/(100-BE337)*100</f>
        <v>0</v>
      </c>
      <c r="BE337" s="40">
        <v>0</v>
      </c>
      <c r="BF337" s="40">
        <f>337</f>
        <v>337</v>
      </c>
      <c r="BH337" s="40">
        <f>H337*AO337</f>
        <v>0</v>
      </c>
      <c r="BI337" s="40">
        <f>H337*AP337</f>
        <v>0</v>
      </c>
      <c r="BJ337" s="40">
        <f>H337*I337</f>
        <v>0</v>
      </c>
      <c r="BK337" s="40"/>
      <c r="BL337" s="40">
        <v>16</v>
      </c>
    </row>
    <row r="338" spans="1:47" ht="15" customHeight="1">
      <c r="A338" s="24" t="s">
        <v>878</v>
      </c>
      <c r="B338" s="66" t="s">
        <v>885</v>
      </c>
      <c r="C338" s="92" t="s">
        <v>179</v>
      </c>
      <c r="D338" s="92"/>
      <c r="E338" s="92"/>
      <c r="F338" s="92"/>
      <c r="G338" s="3" t="s">
        <v>1172</v>
      </c>
      <c r="H338" s="3" t="s">
        <v>1172</v>
      </c>
      <c r="I338" s="3" t="s">
        <v>1172</v>
      </c>
      <c r="J338" s="63">
        <f>SUM(J339:J340)</f>
        <v>0</v>
      </c>
      <c r="K338" s="63">
        <f>SUM(K339:K340)</f>
        <v>0</v>
      </c>
      <c r="L338" s="63">
        <f>SUM(L339:L340)</f>
        <v>0</v>
      </c>
      <c r="M338" s="4" t="s">
        <v>878</v>
      </c>
      <c r="AI338" s="11" t="s">
        <v>1129</v>
      </c>
      <c r="AS338" s="63">
        <f>SUM(AJ339:AJ340)</f>
        <v>0</v>
      </c>
      <c r="AT338" s="63">
        <f>SUM(AK339:AK340)</f>
        <v>0</v>
      </c>
      <c r="AU338" s="63">
        <f>SUM(AL339:AL340)</f>
        <v>0</v>
      </c>
    </row>
    <row r="339" spans="1:64" ht="15" customHeight="1">
      <c r="A339" s="19" t="s">
        <v>499</v>
      </c>
      <c r="B339" s="59" t="s">
        <v>1104</v>
      </c>
      <c r="C339" s="76" t="s">
        <v>43</v>
      </c>
      <c r="D339" s="76"/>
      <c r="E339" s="76"/>
      <c r="F339" s="76"/>
      <c r="G339" s="59" t="s">
        <v>1220</v>
      </c>
      <c r="H339" s="40">
        <v>113.85</v>
      </c>
      <c r="I339" s="40">
        <v>0</v>
      </c>
      <c r="J339" s="40">
        <f>H339*AO339</f>
        <v>0</v>
      </c>
      <c r="K339" s="40">
        <f>H339*AP339</f>
        <v>0</v>
      </c>
      <c r="L339" s="40">
        <f>H339*I339</f>
        <v>0</v>
      </c>
      <c r="M339" s="69" t="s">
        <v>868</v>
      </c>
      <c r="Z339" s="40">
        <f>IF(AQ339="5",BJ339,0)</f>
        <v>0</v>
      </c>
      <c r="AB339" s="40">
        <f>IF(AQ339="1",BH339,0)</f>
        <v>0</v>
      </c>
      <c r="AC339" s="40">
        <f>IF(AQ339="1",BI339,0)</f>
        <v>0</v>
      </c>
      <c r="AD339" s="40">
        <f>IF(AQ339="7",BH339,0)</f>
        <v>0</v>
      </c>
      <c r="AE339" s="40">
        <f>IF(AQ339="7",BI339,0)</f>
        <v>0</v>
      </c>
      <c r="AF339" s="40">
        <f>IF(AQ339="2",BH339,0)</f>
        <v>0</v>
      </c>
      <c r="AG339" s="40">
        <f>IF(AQ339="2",BI339,0)</f>
        <v>0</v>
      </c>
      <c r="AH339" s="40">
        <f>IF(AQ339="0",BJ339,0)</f>
        <v>0</v>
      </c>
      <c r="AI339" s="11" t="s">
        <v>1129</v>
      </c>
      <c r="AJ339" s="40">
        <f>IF(AN339=0,L339,0)</f>
        <v>0</v>
      </c>
      <c r="AK339" s="40">
        <f>IF(AN339=15,L339,0)</f>
        <v>0</v>
      </c>
      <c r="AL339" s="40">
        <f>IF(AN339=21,L339,0)</f>
        <v>0</v>
      </c>
      <c r="AN339" s="40">
        <v>21</v>
      </c>
      <c r="AO339" s="40">
        <f>I339*0.503380669897275</f>
        <v>0</v>
      </c>
      <c r="AP339" s="40">
        <f>I339*(1-0.503380669897275)</f>
        <v>0</v>
      </c>
      <c r="AQ339" s="17" t="s">
        <v>1260</v>
      </c>
      <c r="AV339" s="40">
        <f>AW339+AX339</f>
        <v>0</v>
      </c>
      <c r="AW339" s="40">
        <f>H339*AO339</f>
        <v>0</v>
      </c>
      <c r="AX339" s="40">
        <f>H339*AP339</f>
        <v>0</v>
      </c>
      <c r="AY339" s="17" t="s">
        <v>251</v>
      </c>
      <c r="AZ339" s="17" t="s">
        <v>596</v>
      </c>
      <c r="BA339" s="11" t="s">
        <v>1003</v>
      </c>
      <c r="BC339" s="40">
        <f>AW339+AX339</f>
        <v>0</v>
      </c>
      <c r="BD339" s="40">
        <f>I339/(100-BE339)*100</f>
        <v>0</v>
      </c>
      <c r="BE339" s="40">
        <v>0</v>
      </c>
      <c r="BF339" s="40">
        <f>339</f>
        <v>339</v>
      </c>
      <c r="BH339" s="40">
        <f>H339*AO339</f>
        <v>0</v>
      </c>
      <c r="BI339" s="40">
        <f>H339*AP339</f>
        <v>0</v>
      </c>
      <c r="BJ339" s="40">
        <f>H339*I339</f>
        <v>0</v>
      </c>
      <c r="BK339" s="40"/>
      <c r="BL339" s="40">
        <v>17</v>
      </c>
    </row>
    <row r="340" spans="1:64" ht="15" customHeight="1">
      <c r="A340" s="19" t="s">
        <v>181</v>
      </c>
      <c r="B340" s="59" t="s">
        <v>931</v>
      </c>
      <c r="C340" s="76" t="s">
        <v>652</v>
      </c>
      <c r="D340" s="76"/>
      <c r="E340" s="76"/>
      <c r="F340" s="76"/>
      <c r="G340" s="59" t="s">
        <v>1220</v>
      </c>
      <c r="H340" s="40">
        <v>619.91</v>
      </c>
      <c r="I340" s="40">
        <v>0</v>
      </c>
      <c r="J340" s="40">
        <f>H340*AO340</f>
        <v>0</v>
      </c>
      <c r="K340" s="40">
        <f>H340*AP340</f>
        <v>0</v>
      </c>
      <c r="L340" s="40">
        <f>H340*I340</f>
        <v>0</v>
      </c>
      <c r="M340" s="69" t="s">
        <v>868</v>
      </c>
      <c r="Z340" s="40">
        <f>IF(AQ340="5",BJ340,0)</f>
        <v>0</v>
      </c>
      <c r="AB340" s="40">
        <f>IF(AQ340="1",BH340,0)</f>
        <v>0</v>
      </c>
      <c r="AC340" s="40">
        <f>IF(AQ340="1",BI340,0)</f>
        <v>0</v>
      </c>
      <c r="AD340" s="40">
        <f>IF(AQ340="7",BH340,0)</f>
        <v>0</v>
      </c>
      <c r="AE340" s="40">
        <f>IF(AQ340="7",BI340,0)</f>
        <v>0</v>
      </c>
      <c r="AF340" s="40">
        <f>IF(AQ340="2",BH340,0)</f>
        <v>0</v>
      </c>
      <c r="AG340" s="40">
        <f>IF(AQ340="2",BI340,0)</f>
        <v>0</v>
      </c>
      <c r="AH340" s="40">
        <f>IF(AQ340="0",BJ340,0)</f>
        <v>0</v>
      </c>
      <c r="AI340" s="11" t="s">
        <v>1129</v>
      </c>
      <c r="AJ340" s="40">
        <f>IF(AN340=0,L340,0)</f>
        <v>0</v>
      </c>
      <c r="AK340" s="40">
        <f>IF(AN340=15,L340,0)</f>
        <v>0</v>
      </c>
      <c r="AL340" s="40">
        <f>IF(AN340=21,L340,0)</f>
        <v>0</v>
      </c>
      <c r="AN340" s="40">
        <v>21</v>
      </c>
      <c r="AO340" s="40">
        <f>I340*0</f>
        <v>0</v>
      </c>
      <c r="AP340" s="40">
        <f>I340*(1-0)</f>
        <v>0</v>
      </c>
      <c r="AQ340" s="17" t="s">
        <v>1260</v>
      </c>
      <c r="AV340" s="40">
        <f>AW340+AX340</f>
        <v>0</v>
      </c>
      <c r="AW340" s="40">
        <f>H340*AO340</f>
        <v>0</v>
      </c>
      <c r="AX340" s="40">
        <f>H340*AP340</f>
        <v>0</v>
      </c>
      <c r="AY340" s="17" t="s">
        <v>251</v>
      </c>
      <c r="AZ340" s="17" t="s">
        <v>596</v>
      </c>
      <c r="BA340" s="11" t="s">
        <v>1003</v>
      </c>
      <c r="BC340" s="40">
        <f>AW340+AX340</f>
        <v>0</v>
      </c>
      <c r="BD340" s="40">
        <f>I340/(100-BE340)*100</f>
        <v>0</v>
      </c>
      <c r="BE340" s="40">
        <v>0</v>
      </c>
      <c r="BF340" s="40">
        <f>340</f>
        <v>340</v>
      </c>
      <c r="BH340" s="40">
        <f>H340*AO340</f>
        <v>0</v>
      </c>
      <c r="BI340" s="40">
        <f>H340*AP340</f>
        <v>0</v>
      </c>
      <c r="BJ340" s="40">
        <f>H340*I340</f>
        <v>0</v>
      </c>
      <c r="BK340" s="40"/>
      <c r="BL340" s="40">
        <v>17</v>
      </c>
    </row>
    <row r="341" spans="1:47" ht="15" customHeight="1">
      <c r="A341" s="24" t="s">
        <v>878</v>
      </c>
      <c r="B341" s="66" t="s">
        <v>807</v>
      </c>
      <c r="C341" s="92" t="s">
        <v>428</v>
      </c>
      <c r="D341" s="92"/>
      <c r="E341" s="92"/>
      <c r="F341" s="92"/>
      <c r="G341" s="3" t="s">
        <v>1172</v>
      </c>
      <c r="H341" s="3" t="s">
        <v>1172</v>
      </c>
      <c r="I341" s="3" t="s">
        <v>1172</v>
      </c>
      <c r="J341" s="63">
        <f>SUM(J342:J342)</f>
        <v>0</v>
      </c>
      <c r="K341" s="63">
        <f>SUM(K342:K342)</f>
        <v>0</v>
      </c>
      <c r="L341" s="63">
        <f>SUM(L342:L342)</f>
        <v>0</v>
      </c>
      <c r="M341" s="4" t="s">
        <v>878</v>
      </c>
      <c r="AI341" s="11" t="s">
        <v>1129</v>
      </c>
      <c r="AS341" s="63">
        <f>SUM(AJ342:AJ342)</f>
        <v>0</v>
      </c>
      <c r="AT341" s="63">
        <f>SUM(AK342:AK342)</f>
        <v>0</v>
      </c>
      <c r="AU341" s="63">
        <f>SUM(AL342:AL342)</f>
        <v>0</v>
      </c>
    </row>
    <row r="342" spans="1:64" ht="15" customHeight="1">
      <c r="A342" s="19" t="s">
        <v>353</v>
      </c>
      <c r="B342" s="59" t="s">
        <v>866</v>
      </c>
      <c r="C342" s="76" t="s">
        <v>1217</v>
      </c>
      <c r="D342" s="76"/>
      <c r="E342" s="76"/>
      <c r="F342" s="76"/>
      <c r="G342" s="59" t="s">
        <v>1220</v>
      </c>
      <c r="H342" s="40">
        <v>37.89</v>
      </c>
      <c r="I342" s="40">
        <v>0</v>
      </c>
      <c r="J342" s="40">
        <f>H342*AO342</f>
        <v>0</v>
      </c>
      <c r="K342" s="40">
        <f>H342*AP342</f>
        <v>0</v>
      </c>
      <c r="L342" s="40">
        <f>H342*I342</f>
        <v>0</v>
      </c>
      <c r="M342" s="69" t="s">
        <v>868</v>
      </c>
      <c r="Z342" s="40">
        <f>IF(AQ342="5",BJ342,0)</f>
        <v>0</v>
      </c>
      <c r="AB342" s="40">
        <f>IF(AQ342="1",BH342,0)</f>
        <v>0</v>
      </c>
      <c r="AC342" s="40">
        <f>IF(AQ342="1",BI342,0)</f>
        <v>0</v>
      </c>
      <c r="AD342" s="40">
        <f>IF(AQ342="7",BH342,0)</f>
        <v>0</v>
      </c>
      <c r="AE342" s="40">
        <f>IF(AQ342="7",BI342,0)</f>
        <v>0</v>
      </c>
      <c r="AF342" s="40">
        <f>IF(AQ342="2",BH342,0)</f>
        <v>0</v>
      </c>
      <c r="AG342" s="40">
        <f>IF(AQ342="2",BI342,0)</f>
        <v>0</v>
      </c>
      <c r="AH342" s="40">
        <f>IF(AQ342="0",BJ342,0)</f>
        <v>0</v>
      </c>
      <c r="AI342" s="11" t="s">
        <v>1129</v>
      </c>
      <c r="AJ342" s="40">
        <f>IF(AN342=0,L342,0)</f>
        <v>0</v>
      </c>
      <c r="AK342" s="40">
        <f>IF(AN342=15,L342,0)</f>
        <v>0</v>
      </c>
      <c r="AL342" s="40">
        <f>IF(AN342=21,L342,0)</f>
        <v>0</v>
      </c>
      <c r="AN342" s="40">
        <v>21</v>
      </c>
      <c r="AO342" s="40">
        <f>I342*0</f>
        <v>0</v>
      </c>
      <c r="AP342" s="40">
        <f>I342*(1-0)</f>
        <v>0</v>
      </c>
      <c r="AQ342" s="17" t="s">
        <v>1260</v>
      </c>
      <c r="AV342" s="40">
        <f>AW342+AX342</f>
        <v>0</v>
      </c>
      <c r="AW342" s="40">
        <f>H342*AO342</f>
        <v>0</v>
      </c>
      <c r="AX342" s="40">
        <f>H342*AP342</f>
        <v>0</v>
      </c>
      <c r="AY342" s="17" t="s">
        <v>999</v>
      </c>
      <c r="AZ342" s="17" t="s">
        <v>596</v>
      </c>
      <c r="BA342" s="11" t="s">
        <v>1003</v>
      </c>
      <c r="BC342" s="40">
        <f>AW342+AX342</f>
        <v>0</v>
      </c>
      <c r="BD342" s="40">
        <f>I342/(100-BE342)*100</f>
        <v>0</v>
      </c>
      <c r="BE342" s="40">
        <v>0</v>
      </c>
      <c r="BF342" s="40">
        <f>342</f>
        <v>342</v>
      </c>
      <c r="BH342" s="40">
        <f>H342*AO342</f>
        <v>0</v>
      </c>
      <c r="BI342" s="40">
        <f>H342*AP342</f>
        <v>0</v>
      </c>
      <c r="BJ342" s="40">
        <f>H342*I342</f>
        <v>0</v>
      </c>
      <c r="BK342" s="40"/>
      <c r="BL342" s="40">
        <v>19</v>
      </c>
    </row>
    <row r="343" spans="1:47" ht="15" customHeight="1">
      <c r="A343" s="24" t="s">
        <v>878</v>
      </c>
      <c r="B343" s="66" t="s">
        <v>432</v>
      </c>
      <c r="C343" s="92" t="s">
        <v>991</v>
      </c>
      <c r="D343" s="92"/>
      <c r="E343" s="92"/>
      <c r="F343" s="92"/>
      <c r="G343" s="3" t="s">
        <v>1172</v>
      </c>
      <c r="H343" s="3" t="s">
        <v>1172</v>
      </c>
      <c r="I343" s="3" t="s">
        <v>1172</v>
      </c>
      <c r="J343" s="63">
        <f>SUM(J344:J344)</f>
        <v>0</v>
      </c>
      <c r="K343" s="63">
        <f>SUM(K344:K344)</f>
        <v>0</v>
      </c>
      <c r="L343" s="63">
        <f>SUM(L344:L344)</f>
        <v>0</v>
      </c>
      <c r="M343" s="4" t="s">
        <v>878</v>
      </c>
      <c r="AI343" s="11" t="s">
        <v>1129</v>
      </c>
      <c r="AS343" s="63">
        <f>SUM(AJ344:AJ344)</f>
        <v>0</v>
      </c>
      <c r="AT343" s="63">
        <f>SUM(AK344:AK344)</f>
        <v>0</v>
      </c>
      <c r="AU343" s="63">
        <f>SUM(AL344:AL344)</f>
        <v>0</v>
      </c>
    </row>
    <row r="344" spans="1:64" ht="15" customHeight="1">
      <c r="A344" s="19" t="s">
        <v>617</v>
      </c>
      <c r="B344" s="59" t="s">
        <v>898</v>
      </c>
      <c r="C344" s="76" t="s">
        <v>416</v>
      </c>
      <c r="D344" s="76"/>
      <c r="E344" s="76"/>
      <c r="F344" s="76"/>
      <c r="G344" s="59" t="s">
        <v>1220</v>
      </c>
      <c r="H344" s="40">
        <v>36.2848</v>
      </c>
      <c r="I344" s="40">
        <v>0</v>
      </c>
      <c r="J344" s="40">
        <f>H344*AO344</f>
        <v>0</v>
      </c>
      <c r="K344" s="40">
        <f>H344*AP344</f>
        <v>0</v>
      </c>
      <c r="L344" s="40">
        <f>H344*I344</f>
        <v>0</v>
      </c>
      <c r="M344" s="69" t="s">
        <v>868</v>
      </c>
      <c r="Z344" s="40">
        <f>IF(AQ344="5",BJ344,0)</f>
        <v>0</v>
      </c>
      <c r="AB344" s="40">
        <f>IF(AQ344="1",BH344,0)</f>
        <v>0</v>
      </c>
      <c r="AC344" s="40">
        <f>IF(AQ344="1",BI344,0)</f>
        <v>0</v>
      </c>
      <c r="AD344" s="40">
        <f>IF(AQ344="7",BH344,0)</f>
        <v>0</v>
      </c>
      <c r="AE344" s="40">
        <f>IF(AQ344="7",BI344,0)</f>
        <v>0</v>
      </c>
      <c r="AF344" s="40">
        <f>IF(AQ344="2",BH344,0)</f>
        <v>0</v>
      </c>
      <c r="AG344" s="40">
        <f>IF(AQ344="2",BI344,0)</f>
        <v>0</v>
      </c>
      <c r="AH344" s="40">
        <f>IF(AQ344="0",BJ344,0)</f>
        <v>0</v>
      </c>
      <c r="AI344" s="11" t="s">
        <v>1129</v>
      </c>
      <c r="AJ344" s="40">
        <f>IF(AN344=0,L344,0)</f>
        <v>0</v>
      </c>
      <c r="AK344" s="40">
        <f>IF(AN344=15,L344,0)</f>
        <v>0</v>
      </c>
      <c r="AL344" s="40">
        <f>IF(AN344=21,L344,0)</f>
        <v>0</v>
      </c>
      <c r="AN344" s="40">
        <v>21</v>
      </c>
      <c r="AO344" s="40">
        <f>I344*0.480904550852644</f>
        <v>0</v>
      </c>
      <c r="AP344" s="40">
        <f>I344*(1-0.480904550852644)</f>
        <v>0</v>
      </c>
      <c r="AQ344" s="17" t="s">
        <v>1260</v>
      </c>
      <c r="AV344" s="40">
        <f>AW344+AX344</f>
        <v>0</v>
      </c>
      <c r="AW344" s="40">
        <f>H344*AO344</f>
        <v>0</v>
      </c>
      <c r="AX344" s="40">
        <f>H344*AP344</f>
        <v>0</v>
      </c>
      <c r="AY344" s="17" t="s">
        <v>604</v>
      </c>
      <c r="AZ344" s="17" t="s">
        <v>94</v>
      </c>
      <c r="BA344" s="11" t="s">
        <v>1003</v>
      </c>
      <c r="BC344" s="40">
        <f>AW344+AX344</f>
        <v>0</v>
      </c>
      <c r="BD344" s="40">
        <f>I344/(100-BE344)*100</f>
        <v>0</v>
      </c>
      <c r="BE344" s="40">
        <v>0</v>
      </c>
      <c r="BF344" s="40">
        <f>344</f>
        <v>344</v>
      </c>
      <c r="BH344" s="40">
        <f>H344*AO344</f>
        <v>0</v>
      </c>
      <c r="BI344" s="40">
        <f>H344*AP344</f>
        <v>0</v>
      </c>
      <c r="BJ344" s="40">
        <f>H344*I344</f>
        <v>0</v>
      </c>
      <c r="BK344" s="40"/>
      <c r="BL344" s="40">
        <v>45</v>
      </c>
    </row>
    <row r="345" spans="1:47" ht="15" customHeight="1">
      <c r="A345" s="24" t="s">
        <v>878</v>
      </c>
      <c r="B345" s="66" t="s">
        <v>63</v>
      </c>
      <c r="C345" s="92" t="s">
        <v>100</v>
      </c>
      <c r="D345" s="92"/>
      <c r="E345" s="92"/>
      <c r="F345" s="92"/>
      <c r="G345" s="3" t="s">
        <v>1172</v>
      </c>
      <c r="H345" s="3" t="s">
        <v>1172</v>
      </c>
      <c r="I345" s="3" t="s">
        <v>1172</v>
      </c>
      <c r="J345" s="63">
        <f>SUM(J346:J350)</f>
        <v>0</v>
      </c>
      <c r="K345" s="63">
        <f>SUM(K346:K350)</f>
        <v>0</v>
      </c>
      <c r="L345" s="63">
        <f>SUM(L346:L350)</f>
        <v>0</v>
      </c>
      <c r="M345" s="4" t="s">
        <v>878</v>
      </c>
      <c r="AI345" s="11" t="s">
        <v>1129</v>
      </c>
      <c r="AS345" s="63">
        <f>SUM(AJ346:AJ350)</f>
        <v>0</v>
      </c>
      <c r="AT345" s="63">
        <f>SUM(AK346:AK350)</f>
        <v>0</v>
      </c>
      <c r="AU345" s="63">
        <f>SUM(AL346:AL350)</f>
        <v>0</v>
      </c>
    </row>
    <row r="346" spans="1:64" ht="15" customHeight="1">
      <c r="A346" s="19" t="s">
        <v>789</v>
      </c>
      <c r="B346" s="59" t="s">
        <v>148</v>
      </c>
      <c r="C346" s="76" t="s">
        <v>1208</v>
      </c>
      <c r="D346" s="76"/>
      <c r="E346" s="76"/>
      <c r="F346" s="76"/>
      <c r="G346" s="59" t="s">
        <v>1041</v>
      </c>
      <c r="H346" s="40">
        <v>280.6</v>
      </c>
      <c r="I346" s="40">
        <v>0</v>
      </c>
      <c r="J346" s="40">
        <f>H346*AO346</f>
        <v>0</v>
      </c>
      <c r="K346" s="40">
        <f>H346*AP346</f>
        <v>0</v>
      </c>
      <c r="L346" s="40">
        <f>H346*I346</f>
        <v>0</v>
      </c>
      <c r="M346" s="69" t="s">
        <v>868</v>
      </c>
      <c r="Z346" s="40">
        <f>IF(AQ346="5",BJ346,0)</f>
        <v>0</v>
      </c>
      <c r="AB346" s="40">
        <f>IF(AQ346="1",BH346,0)</f>
        <v>0</v>
      </c>
      <c r="AC346" s="40">
        <f>IF(AQ346="1",BI346,0)</f>
        <v>0</v>
      </c>
      <c r="AD346" s="40">
        <f>IF(AQ346="7",BH346,0)</f>
        <v>0</v>
      </c>
      <c r="AE346" s="40">
        <f>IF(AQ346="7",BI346,0)</f>
        <v>0</v>
      </c>
      <c r="AF346" s="40">
        <f>IF(AQ346="2",BH346,0)</f>
        <v>0</v>
      </c>
      <c r="AG346" s="40">
        <f>IF(AQ346="2",BI346,0)</f>
        <v>0</v>
      </c>
      <c r="AH346" s="40">
        <f>IF(AQ346="0",BJ346,0)</f>
        <v>0</v>
      </c>
      <c r="AI346" s="11" t="s">
        <v>1129</v>
      </c>
      <c r="AJ346" s="40">
        <f>IF(AN346=0,L346,0)</f>
        <v>0</v>
      </c>
      <c r="AK346" s="40">
        <f>IF(AN346=15,L346,0)</f>
        <v>0</v>
      </c>
      <c r="AL346" s="40">
        <f>IF(AN346=21,L346,0)</f>
        <v>0</v>
      </c>
      <c r="AN346" s="40">
        <v>21</v>
      </c>
      <c r="AO346" s="40">
        <f>I346*0.00459770114942529</f>
        <v>0</v>
      </c>
      <c r="AP346" s="40">
        <f>I346*(1-0.00459770114942529)</f>
        <v>0</v>
      </c>
      <c r="AQ346" s="17" t="s">
        <v>1260</v>
      </c>
      <c r="AV346" s="40">
        <f>AW346+AX346</f>
        <v>0</v>
      </c>
      <c r="AW346" s="40">
        <f>H346*AO346</f>
        <v>0</v>
      </c>
      <c r="AX346" s="40">
        <f>H346*AP346</f>
        <v>0</v>
      </c>
      <c r="AY346" s="17" t="s">
        <v>88</v>
      </c>
      <c r="AZ346" s="17" t="s">
        <v>195</v>
      </c>
      <c r="BA346" s="11" t="s">
        <v>1003</v>
      </c>
      <c r="BC346" s="40">
        <f>AW346+AX346</f>
        <v>0</v>
      </c>
      <c r="BD346" s="40">
        <f>I346/(100-BE346)*100</f>
        <v>0</v>
      </c>
      <c r="BE346" s="40">
        <v>0</v>
      </c>
      <c r="BF346" s="40">
        <f>346</f>
        <v>346</v>
      </c>
      <c r="BH346" s="40">
        <f>H346*AO346</f>
        <v>0</v>
      </c>
      <c r="BI346" s="40">
        <f>H346*AP346</f>
        <v>0</v>
      </c>
      <c r="BJ346" s="40">
        <f>H346*I346</f>
        <v>0</v>
      </c>
      <c r="BK346" s="40"/>
      <c r="BL346" s="40">
        <v>87</v>
      </c>
    </row>
    <row r="347" spans="1:64" ht="15" customHeight="1">
      <c r="A347" s="19" t="s">
        <v>1204</v>
      </c>
      <c r="B347" s="59" t="s">
        <v>1130</v>
      </c>
      <c r="C347" s="76" t="s">
        <v>1316</v>
      </c>
      <c r="D347" s="76"/>
      <c r="E347" s="76"/>
      <c r="F347" s="76"/>
      <c r="G347" s="59" t="s">
        <v>312</v>
      </c>
      <c r="H347" s="40">
        <v>94</v>
      </c>
      <c r="I347" s="40">
        <v>0</v>
      </c>
      <c r="J347" s="40">
        <f>H347*AO347</f>
        <v>0</v>
      </c>
      <c r="K347" s="40">
        <f>H347*AP347</f>
        <v>0</v>
      </c>
      <c r="L347" s="40">
        <f>H347*I347</f>
        <v>0</v>
      </c>
      <c r="M347" s="69" t="s">
        <v>868</v>
      </c>
      <c r="Z347" s="40">
        <f>IF(AQ347="5",BJ347,0)</f>
        <v>0</v>
      </c>
      <c r="AB347" s="40">
        <f>IF(AQ347="1",BH347,0)</f>
        <v>0</v>
      </c>
      <c r="AC347" s="40">
        <f>IF(AQ347="1",BI347,0)</f>
        <v>0</v>
      </c>
      <c r="AD347" s="40">
        <f>IF(AQ347="7",BH347,0)</f>
        <v>0</v>
      </c>
      <c r="AE347" s="40">
        <f>IF(AQ347="7",BI347,0)</f>
        <v>0</v>
      </c>
      <c r="AF347" s="40">
        <f>IF(AQ347="2",BH347,0)</f>
        <v>0</v>
      </c>
      <c r="AG347" s="40">
        <f>IF(AQ347="2",BI347,0)</f>
        <v>0</v>
      </c>
      <c r="AH347" s="40">
        <f>IF(AQ347="0",BJ347,0)</f>
        <v>0</v>
      </c>
      <c r="AI347" s="11" t="s">
        <v>1129</v>
      </c>
      <c r="AJ347" s="40">
        <f>IF(AN347=0,L347,0)</f>
        <v>0</v>
      </c>
      <c r="AK347" s="40">
        <f>IF(AN347=15,L347,0)</f>
        <v>0</v>
      </c>
      <c r="AL347" s="40">
        <f>IF(AN347=21,L347,0)</f>
        <v>0</v>
      </c>
      <c r="AN347" s="40">
        <v>21</v>
      </c>
      <c r="AO347" s="40">
        <f>I347*1</f>
        <v>0</v>
      </c>
      <c r="AP347" s="40">
        <f>I347*(1-1)</f>
        <v>0</v>
      </c>
      <c r="AQ347" s="17" t="s">
        <v>1260</v>
      </c>
      <c r="AV347" s="40">
        <f>AW347+AX347</f>
        <v>0</v>
      </c>
      <c r="AW347" s="40">
        <f>H347*AO347</f>
        <v>0</v>
      </c>
      <c r="AX347" s="40">
        <f>H347*AP347</f>
        <v>0</v>
      </c>
      <c r="AY347" s="17" t="s">
        <v>88</v>
      </c>
      <c r="AZ347" s="17" t="s">
        <v>195</v>
      </c>
      <c r="BA347" s="11" t="s">
        <v>1003</v>
      </c>
      <c r="BC347" s="40">
        <f>AW347+AX347</f>
        <v>0</v>
      </c>
      <c r="BD347" s="40">
        <f>I347/(100-BE347)*100</f>
        <v>0</v>
      </c>
      <c r="BE347" s="40">
        <v>0</v>
      </c>
      <c r="BF347" s="40">
        <f>347</f>
        <v>347</v>
      </c>
      <c r="BH347" s="40">
        <f>H347*AO347</f>
        <v>0</v>
      </c>
      <c r="BI347" s="40">
        <f>H347*AP347</f>
        <v>0</v>
      </c>
      <c r="BJ347" s="40">
        <f>H347*I347</f>
        <v>0</v>
      </c>
      <c r="BK347" s="40"/>
      <c r="BL347" s="40">
        <v>87</v>
      </c>
    </row>
    <row r="348" spans="1:64" ht="15" customHeight="1">
      <c r="A348" s="19" t="s">
        <v>272</v>
      </c>
      <c r="B348" s="59" t="s">
        <v>1248</v>
      </c>
      <c r="C348" s="76" t="s">
        <v>78</v>
      </c>
      <c r="D348" s="76"/>
      <c r="E348" s="76"/>
      <c r="F348" s="76"/>
      <c r="G348" s="59" t="s">
        <v>312</v>
      </c>
      <c r="H348" s="40">
        <v>92</v>
      </c>
      <c r="I348" s="40">
        <v>0</v>
      </c>
      <c r="J348" s="40">
        <f>H348*AO348</f>
        <v>0</v>
      </c>
      <c r="K348" s="40">
        <f>H348*AP348</f>
        <v>0</v>
      </c>
      <c r="L348" s="40">
        <f>H348*I348</f>
        <v>0</v>
      </c>
      <c r="M348" s="69" t="s">
        <v>868</v>
      </c>
      <c r="Z348" s="40">
        <f>IF(AQ348="5",BJ348,0)</f>
        <v>0</v>
      </c>
      <c r="AB348" s="40">
        <f>IF(AQ348="1",BH348,0)</f>
        <v>0</v>
      </c>
      <c r="AC348" s="40">
        <f>IF(AQ348="1",BI348,0)</f>
        <v>0</v>
      </c>
      <c r="AD348" s="40">
        <f>IF(AQ348="7",BH348,0)</f>
        <v>0</v>
      </c>
      <c r="AE348" s="40">
        <f>IF(AQ348="7",BI348,0)</f>
        <v>0</v>
      </c>
      <c r="AF348" s="40">
        <f>IF(AQ348="2",BH348,0)</f>
        <v>0</v>
      </c>
      <c r="AG348" s="40">
        <f>IF(AQ348="2",BI348,0)</f>
        <v>0</v>
      </c>
      <c r="AH348" s="40">
        <f>IF(AQ348="0",BJ348,0)</f>
        <v>0</v>
      </c>
      <c r="AI348" s="11" t="s">
        <v>1129</v>
      </c>
      <c r="AJ348" s="40">
        <f>IF(AN348=0,L348,0)</f>
        <v>0</v>
      </c>
      <c r="AK348" s="40">
        <f>IF(AN348=15,L348,0)</f>
        <v>0</v>
      </c>
      <c r="AL348" s="40">
        <f>IF(AN348=21,L348,0)</f>
        <v>0</v>
      </c>
      <c r="AN348" s="40">
        <v>21</v>
      </c>
      <c r="AO348" s="40">
        <f>I348*0.00526881720430108</f>
        <v>0</v>
      </c>
      <c r="AP348" s="40">
        <f>I348*(1-0.00526881720430108)</f>
        <v>0</v>
      </c>
      <c r="AQ348" s="17" t="s">
        <v>1260</v>
      </c>
      <c r="AV348" s="40">
        <f>AW348+AX348</f>
        <v>0</v>
      </c>
      <c r="AW348" s="40">
        <f>H348*AO348</f>
        <v>0</v>
      </c>
      <c r="AX348" s="40">
        <f>H348*AP348</f>
        <v>0</v>
      </c>
      <c r="AY348" s="17" t="s">
        <v>88</v>
      </c>
      <c r="AZ348" s="17" t="s">
        <v>195</v>
      </c>
      <c r="BA348" s="11" t="s">
        <v>1003</v>
      </c>
      <c r="BC348" s="40">
        <f>AW348+AX348</f>
        <v>0</v>
      </c>
      <c r="BD348" s="40">
        <f>I348/(100-BE348)*100</f>
        <v>0</v>
      </c>
      <c r="BE348" s="40">
        <v>0</v>
      </c>
      <c r="BF348" s="40">
        <f>348</f>
        <v>348</v>
      </c>
      <c r="BH348" s="40">
        <f>H348*AO348</f>
        <v>0</v>
      </c>
      <c r="BI348" s="40">
        <f>H348*AP348</f>
        <v>0</v>
      </c>
      <c r="BJ348" s="40">
        <f>H348*I348</f>
        <v>0</v>
      </c>
      <c r="BK348" s="40"/>
      <c r="BL348" s="40">
        <v>87</v>
      </c>
    </row>
    <row r="349" spans="1:64" ht="15" customHeight="1">
      <c r="A349" s="19" t="s">
        <v>1226</v>
      </c>
      <c r="B349" s="59" t="s">
        <v>96</v>
      </c>
      <c r="C349" s="76" t="s">
        <v>296</v>
      </c>
      <c r="D349" s="76"/>
      <c r="E349" s="76"/>
      <c r="F349" s="76"/>
      <c r="G349" s="59" t="s">
        <v>312</v>
      </c>
      <c r="H349" s="40">
        <v>46</v>
      </c>
      <c r="I349" s="40">
        <v>0</v>
      </c>
      <c r="J349" s="40">
        <f>H349*AO349</f>
        <v>0</v>
      </c>
      <c r="K349" s="40">
        <f>H349*AP349</f>
        <v>0</v>
      </c>
      <c r="L349" s="40">
        <f>H349*I349</f>
        <v>0</v>
      </c>
      <c r="M349" s="69" t="s">
        <v>868</v>
      </c>
      <c r="Z349" s="40">
        <f>IF(AQ349="5",BJ349,0)</f>
        <v>0</v>
      </c>
      <c r="AB349" s="40">
        <f>IF(AQ349="1",BH349,0)</f>
        <v>0</v>
      </c>
      <c r="AC349" s="40">
        <f>IF(AQ349="1",BI349,0)</f>
        <v>0</v>
      </c>
      <c r="AD349" s="40">
        <f>IF(AQ349="7",BH349,0)</f>
        <v>0</v>
      </c>
      <c r="AE349" s="40">
        <f>IF(AQ349="7",BI349,0)</f>
        <v>0</v>
      </c>
      <c r="AF349" s="40">
        <f>IF(AQ349="2",BH349,0)</f>
        <v>0</v>
      </c>
      <c r="AG349" s="40">
        <f>IF(AQ349="2",BI349,0)</f>
        <v>0</v>
      </c>
      <c r="AH349" s="40">
        <f>IF(AQ349="0",BJ349,0)</f>
        <v>0</v>
      </c>
      <c r="AI349" s="11" t="s">
        <v>1129</v>
      </c>
      <c r="AJ349" s="40">
        <f>IF(AN349=0,L349,0)</f>
        <v>0</v>
      </c>
      <c r="AK349" s="40">
        <f>IF(AN349=15,L349,0)</f>
        <v>0</v>
      </c>
      <c r="AL349" s="40">
        <f>IF(AN349=21,L349,0)</f>
        <v>0</v>
      </c>
      <c r="AN349" s="40">
        <v>21</v>
      </c>
      <c r="AO349" s="40">
        <f>I349*1</f>
        <v>0</v>
      </c>
      <c r="AP349" s="40">
        <f>I349*(1-1)</f>
        <v>0</v>
      </c>
      <c r="AQ349" s="17" t="s">
        <v>1260</v>
      </c>
      <c r="AV349" s="40">
        <f>AW349+AX349</f>
        <v>0</v>
      </c>
      <c r="AW349" s="40">
        <f>H349*AO349</f>
        <v>0</v>
      </c>
      <c r="AX349" s="40">
        <f>H349*AP349</f>
        <v>0</v>
      </c>
      <c r="AY349" s="17" t="s">
        <v>88</v>
      </c>
      <c r="AZ349" s="17" t="s">
        <v>195</v>
      </c>
      <c r="BA349" s="11" t="s">
        <v>1003</v>
      </c>
      <c r="BC349" s="40">
        <f>AW349+AX349</f>
        <v>0</v>
      </c>
      <c r="BD349" s="40">
        <f>I349/(100-BE349)*100</f>
        <v>0</v>
      </c>
      <c r="BE349" s="40">
        <v>0</v>
      </c>
      <c r="BF349" s="40">
        <f>349</f>
        <v>349</v>
      </c>
      <c r="BH349" s="40">
        <f>H349*AO349</f>
        <v>0</v>
      </c>
      <c r="BI349" s="40">
        <f>H349*AP349</f>
        <v>0</v>
      </c>
      <c r="BJ349" s="40">
        <f>H349*I349</f>
        <v>0</v>
      </c>
      <c r="BK349" s="40"/>
      <c r="BL349" s="40">
        <v>87</v>
      </c>
    </row>
    <row r="350" spans="1:64" ht="15" customHeight="1">
      <c r="A350" s="19" t="s">
        <v>509</v>
      </c>
      <c r="B350" s="59" t="s">
        <v>77</v>
      </c>
      <c r="C350" s="76" t="s">
        <v>1294</v>
      </c>
      <c r="D350" s="76"/>
      <c r="E350" s="76"/>
      <c r="F350" s="76"/>
      <c r="G350" s="59" t="s">
        <v>312</v>
      </c>
      <c r="H350" s="40">
        <v>46</v>
      </c>
      <c r="I350" s="40">
        <v>0</v>
      </c>
      <c r="J350" s="40">
        <f>H350*AO350</f>
        <v>0</v>
      </c>
      <c r="K350" s="40">
        <f>H350*AP350</f>
        <v>0</v>
      </c>
      <c r="L350" s="40">
        <f>H350*I350</f>
        <v>0</v>
      </c>
      <c r="M350" s="69" t="s">
        <v>868</v>
      </c>
      <c r="Z350" s="40">
        <f>IF(AQ350="5",BJ350,0)</f>
        <v>0</v>
      </c>
      <c r="AB350" s="40">
        <f>IF(AQ350="1",BH350,0)</f>
        <v>0</v>
      </c>
      <c r="AC350" s="40">
        <f>IF(AQ350="1",BI350,0)</f>
        <v>0</v>
      </c>
      <c r="AD350" s="40">
        <f>IF(AQ350="7",BH350,0)</f>
        <v>0</v>
      </c>
      <c r="AE350" s="40">
        <f>IF(AQ350="7",BI350,0)</f>
        <v>0</v>
      </c>
      <c r="AF350" s="40">
        <f>IF(AQ350="2",BH350,0)</f>
        <v>0</v>
      </c>
      <c r="AG350" s="40">
        <f>IF(AQ350="2",BI350,0)</f>
        <v>0</v>
      </c>
      <c r="AH350" s="40">
        <f>IF(AQ350="0",BJ350,0)</f>
        <v>0</v>
      </c>
      <c r="AI350" s="11" t="s">
        <v>1129</v>
      </c>
      <c r="AJ350" s="40">
        <f>IF(AN350=0,L350,0)</f>
        <v>0</v>
      </c>
      <c r="AK350" s="40">
        <f>IF(AN350=15,L350,0)</f>
        <v>0</v>
      </c>
      <c r="AL350" s="40">
        <f>IF(AN350=21,L350,0)</f>
        <v>0</v>
      </c>
      <c r="AN350" s="40">
        <v>21</v>
      </c>
      <c r="AO350" s="40">
        <f>I350*1</f>
        <v>0</v>
      </c>
      <c r="AP350" s="40">
        <f>I350*(1-1)</f>
        <v>0</v>
      </c>
      <c r="AQ350" s="17" t="s">
        <v>1260</v>
      </c>
      <c r="AV350" s="40">
        <f>AW350+AX350</f>
        <v>0</v>
      </c>
      <c r="AW350" s="40">
        <f>H350*AO350</f>
        <v>0</v>
      </c>
      <c r="AX350" s="40">
        <f>H350*AP350</f>
        <v>0</v>
      </c>
      <c r="AY350" s="17" t="s">
        <v>88</v>
      </c>
      <c r="AZ350" s="17" t="s">
        <v>195</v>
      </c>
      <c r="BA350" s="11" t="s">
        <v>1003</v>
      </c>
      <c r="BC350" s="40">
        <f>AW350+AX350</f>
        <v>0</v>
      </c>
      <c r="BD350" s="40">
        <f>I350/(100-BE350)*100</f>
        <v>0</v>
      </c>
      <c r="BE350" s="40">
        <v>0</v>
      </c>
      <c r="BF350" s="40">
        <f>350</f>
        <v>350</v>
      </c>
      <c r="BH350" s="40">
        <f>H350*AO350</f>
        <v>0</v>
      </c>
      <c r="BI350" s="40">
        <f>H350*AP350</f>
        <v>0</v>
      </c>
      <c r="BJ350" s="40">
        <f>H350*I350</f>
        <v>0</v>
      </c>
      <c r="BK350" s="40"/>
      <c r="BL350" s="40">
        <v>87</v>
      </c>
    </row>
    <row r="351" spans="1:47" ht="15" customHeight="1">
      <c r="A351" s="24" t="s">
        <v>878</v>
      </c>
      <c r="B351" s="66" t="s">
        <v>1338</v>
      </c>
      <c r="C351" s="92" t="s">
        <v>823</v>
      </c>
      <c r="D351" s="92"/>
      <c r="E351" s="92"/>
      <c r="F351" s="92"/>
      <c r="G351" s="3" t="s">
        <v>1172</v>
      </c>
      <c r="H351" s="3" t="s">
        <v>1172</v>
      </c>
      <c r="I351" s="3" t="s">
        <v>1172</v>
      </c>
      <c r="J351" s="63">
        <f>SUM(J352:J354)</f>
        <v>0</v>
      </c>
      <c r="K351" s="63">
        <f>SUM(K352:K354)</f>
        <v>0</v>
      </c>
      <c r="L351" s="63">
        <f>SUM(L352:L354)</f>
        <v>0</v>
      </c>
      <c r="M351" s="4" t="s">
        <v>878</v>
      </c>
      <c r="AI351" s="11" t="s">
        <v>1129</v>
      </c>
      <c r="AS351" s="63">
        <f>SUM(AJ352:AJ354)</f>
        <v>0</v>
      </c>
      <c r="AT351" s="63">
        <f>SUM(AK352:AK354)</f>
        <v>0</v>
      </c>
      <c r="AU351" s="63">
        <f>SUM(AL352:AL354)</f>
        <v>0</v>
      </c>
    </row>
    <row r="352" spans="1:64" ht="15" customHeight="1">
      <c r="A352" s="19" t="s">
        <v>16</v>
      </c>
      <c r="B352" s="59" t="s">
        <v>750</v>
      </c>
      <c r="C352" s="76" t="s">
        <v>1423</v>
      </c>
      <c r="D352" s="76"/>
      <c r="E352" s="76"/>
      <c r="F352" s="76"/>
      <c r="G352" s="59" t="s">
        <v>1041</v>
      </c>
      <c r="H352" s="40">
        <v>266.8</v>
      </c>
      <c r="I352" s="40">
        <v>0</v>
      </c>
      <c r="J352" s="40">
        <f>H352*AO352</f>
        <v>0</v>
      </c>
      <c r="K352" s="40">
        <f>H352*AP352</f>
        <v>0</v>
      </c>
      <c r="L352" s="40">
        <f>H352*I352</f>
        <v>0</v>
      </c>
      <c r="M352" s="69" t="s">
        <v>868</v>
      </c>
      <c r="Z352" s="40">
        <f>IF(AQ352="5",BJ352,0)</f>
        <v>0</v>
      </c>
      <c r="AB352" s="40">
        <f>IF(AQ352="1",BH352,0)</f>
        <v>0</v>
      </c>
      <c r="AC352" s="40">
        <f>IF(AQ352="1",BI352,0)</f>
        <v>0</v>
      </c>
      <c r="AD352" s="40">
        <f>IF(AQ352="7",BH352,0)</f>
        <v>0</v>
      </c>
      <c r="AE352" s="40">
        <f>IF(AQ352="7",BI352,0)</f>
        <v>0</v>
      </c>
      <c r="AF352" s="40">
        <f>IF(AQ352="2",BH352,0)</f>
        <v>0</v>
      </c>
      <c r="AG352" s="40">
        <f>IF(AQ352="2",BI352,0)</f>
        <v>0</v>
      </c>
      <c r="AH352" s="40">
        <f>IF(AQ352="0",BJ352,0)</f>
        <v>0</v>
      </c>
      <c r="AI352" s="11" t="s">
        <v>1129</v>
      </c>
      <c r="AJ352" s="40">
        <f>IF(AN352=0,L352,0)</f>
        <v>0</v>
      </c>
      <c r="AK352" s="40">
        <f>IF(AN352=15,L352,0)</f>
        <v>0</v>
      </c>
      <c r="AL352" s="40">
        <f>IF(AN352=21,L352,0)</f>
        <v>0</v>
      </c>
      <c r="AN352" s="40">
        <v>21</v>
      </c>
      <c r="AO352" s="40">
        <f>I352*0.055</f>
        <v>0</v>
      </c>
      <c r="AP352" s="40">
        <f>I352*(1-0.055)</f>
        <v>0</v>
      </c>
      <c r="AQ352" s="17" t="s">
        <v>1260</v>
      </c>
      <c r="AV352" s="40">
        <f>AW352+AX352</f>
        <v>0</v>
      </c>
      <c r="AW352" s="40">
        <f>H352*AO352</f>
        <v>0</v>
      </c>
      <c r="AX352" s="40">
        <f>H352*AP352</f>
        <v>0</v>
      </c>
      <c r="AY352" s="17" t="s">
        <v>106</v>
      </c>
      <c r="AZ352" s="17" t="s">
        <v>195</v>
      </c>
      <c r="BA352" s="11" t="s">
        <v>1003</v>
      </c>
      <c r="BC352" s="40">
        <f>AW352+AX352</f>
        <v>0</v>
      </c>
      <c r="BD352" s="40">
        <f>I352/(100-BE352)*100</f>
        <v>0</v>
      </c>
      <c r="BE352" s="40">
        <v>0</v>
      </c>
      <c r="BF352" s="40">
        <f>352</f>
        <v>352</v>
      </c>
      <c r="BH352" s="40">
        <f>H352*AO352</f>
        <v>0</v>
      </c>
      <c r="BI352" s="40">
        <f>H352*AP352</f>
        <v>0</v>
      </c>
      <c r="BJ352" s="40">
        <f>H352*I352</f>
        <v>0</v>
      </c>
      <c r="BK352" s="40"/>
      <c r="BL352" s="40">
        <v>89</v>
      </c>
    </row>
    <row r="353" spans="1:64" ht="15" customHeight="1">
      <c r="A353" s="19" t="s">
        <v>553</v>
      </c>
      <c r="B353" s="59" t="s">
        <v>670</v>
      </c>
      <c r="C353" s="76" t="s">
        <v>338</v>
      </c>
      <c r="D353" s="76"/>
      <c r="E353" s="76"/>
      <c r="F353" s="76"/>
      <c r="G353" s="59" t="s">
        <v>254</v>
      </c>
      <c r="H353" s="40">
        <v>46</v>
      </c>
      <c r="I353" s="40">
        <v>0</v>
      </c>
      <c r="J353" s="40">
        <f>H353*AO353</f>
        <v>0</v>
      </c>
      <c r="K353" s="40">
        <f>H353*AP353</f>
        <v>0</v>
      </c>
      <c r="L353" s="40">
        <f>H353*I353</f>
        <v>0</v>
      </c>
      <c r="M353" s="69" t="s">
        <v>868</v>
      </c>
      <c r="Z353" s="40">
        <f>IF(AQ353="5",BJ353,0)</f>
        <v>0</v>
      </c>
      <c r="AB353" s="40">
        <f>IF(AQ353="1",BH353,0)</f>
        <v>0</v>
      </c>
      <c r="AC353" s="40">
        <f>IF(AQ353="1",BI353,0)</f>
        <v>0</v>
      </c>
      <c r="AD353" s="40">
        <f>IF(AQ353="7",BH353,0)</f>
        <v>0</v>
      </c>
      <c r="AE353" s="40">
        <f>IF(AQ353="7",BI353,0)</f>
        <v>0</v>
      </c>
      <c r="AF353" s="40">
        <f>IF(AQ353="2",BH353,0)</f>
        <v>0</v>
      </c>
      <c r="AG353" s="40">
        <f>IF(AQ353="2",BI353,0)</f>
        <v>0</v>
      </c>
      <c r="AH353" s="40">
        <f>IF(AQ353="0",BJ353,0)</f>
        <v>0</v>
      </c>
      <c r="AI353" s="11" t="s">
        <v>1129</v>
      </c>
      <c r="AJ353" s="40">
        <f>IF(AN353=0,L353,0)</f>
        <v>0</v>
      </c>
      <c r="AK353" s="40">
        <f>IF(AN353=15,L353,0)</f>
        <v>0</v>
      </c>
      <c r="AL353" s="40">
        <f>IF(AN353=21,L353,0)</f>
        <v>0</v>
      </c>
      <c r="AN353" s="40">
        <v>21</v>
      </c>
      <c r="AO353" s="40">
        <f>I353*0.33300395256917</f>
        <v>0</v>
      </c>
      <c r="AP353" s="40">
        <f>I353*(1-0.33300395256917)</f>
        <v>0</v>
      </c>
      <c r="AQ353" s="17" t="s">
        <v>1260</v>
      </c>
      <c r="AV353" s="40">
        <f>AW353+AX353</f>
        <v>0</v>
      </c>
      <c r="AW353" s="40">
        <f>H353*AO353</f>
        <v>0</v>
      </c>
      <c r="AX353" s="40">
        <f>H353*AP353</f>
        <v>0</v>
      </c>
      <c r="AY353" s="17" t="s">
        <v>106</v>
      </c>
      <c r="AZ353" s="17" t="s">
        <v>195</v>
      </c>
      <c r="BA353" s="11" t="s">
        <v>1003</v>
      </c>
      <c r="BC353" s="40">
        <f>AW353+AX353</f>
        <v>0</v>
      </c>
      <c r="BD353" s="40">
        <f>I353/(100-BE353)*100</f>
        <v>0</v>
      </c>
      <c r="BE353" s="40">
        <v>0</v>
      </c>
      <c r="BF353" s="40">
        <f>353</f>
        <v>353</v>
      </c>
      <c r="BH353" s="40">
        <f>H353*AO353</f>
        <v>0</v>
      </c>
      <c r="BI353" s="40">
        <f>H353*AP353</f>
        <v>0</v>
      </c>
      <c r="BJ353" s="40">
        <f>H353*I353</f>
        <v>0</v>
      </c>
      <c r="BK353" s="40"/>
      <c r="BL353" s="40">
        <v>89</v>
      </c>
    </row>
    <row r="354" spans="1:64" ht="15" customHeight="1">
      <c r="A354" s="19" t="s">
        <v>273</v>
      </c>
      <c r="B354" s="59" t="s">
        <v>192</v>
      </c>
      <c r="C354" s="76" t="s">
        <v>464</v>
      </c>
      <c r="D354" s="76"/>
      <c r="E354" s="76"/>
      <c r="F354" s="76"/>
      <c r="G354" s="59" t="s">
        <v>1041</v>
      </c>
      <c r="H354" s="40">
        <v>293.48</v>
      </c>
      <c r="I354" s="40">
        <v>0</v>
      </c>
      <c r="J354" s="40">
        <f>H354*AO354</f>
        <v>0</v>
      </c>
      <c r="K354" s="40">
        <f>H354*AP354</f>
        <v>0</v>
      </c>
      <c r="L354" s="40">
        <f>H354*I354</f>
        <v>0</v>
      </c>
      <c r="M354" s="69" t="s">
        <v>868</v>
      </c>
      <c r="Z354" s="40">
        <f>IF(AQ354="5",BJ354,0)</f>
        <v>0</v>
      </c>
      <c r="AB354" s="40">
        <f>IF(AQ354="1",BH354,0)</f>
        <v>0</v>
      </c>
      <c r="AC354" s="40">
        <f>IF(AQ354="1",BI354,0)</f>
        <v>0</v>
      </c>
      <c r="AD354" s="40">
        <f>IF(AQ354="7",BH354,0)</f>
        <v>0</v>
      </c>
      <c r="AE354" s="40">
        <f>IF(AQ354="7",BI354,0)</f>
        <v>0</v>
      </c>
      <c r="AF354" s="40">
        <f>IF(AQ354="2",BH354,0)</f>
        <v>0</v>
      </c>
      <c r="AG354" s="40">
        <f>IF(AQ354="2",BI354,0)</f>
        <v>0</v>
      </c>
      <c r="AH354" s="40">
        <f>IF(AQ354="0",BJ354,0)</f>
        <v>0</v>
      </c>
      <c r="AI354" s="11" t="s">
        <v>1129</v>
      </c>
      <c r="AJ354" s="40">
        <f>IF(AN354=0,L354,0)</f>
        <v>0</v>
      </c>
      <c r="AK354" s="40">
        <f>IF(AN354=15,L354,0)</f>
        <v>0</v>
      </c>
      <c r="AL354" s="40">
        <f>IF(AN354=21,L354,0)</f>
        <v>0</v>
      </c>
      <c r="AN354" s="40">
        <v>21</v>
      </c>
      <c r="AO354" s="40">
        <f>I354*0.322424242424242</f>
        <v>0</v>
      </c>
      <c r="AP354" s="40">
        <f>I354*(1-0.322424242424242)</f>
        <v>0</v>
      </c>
      <c r="AQ354" s="17" t="s">
        <v>1260</v>
      </c>
      <c r="AV354" s="40">
        <f>AW354+AX354</f>
        <v>0</v>
      </c>
      <c r="AW354" s="40">
        <f>H354*AO354</f>
        <v>0</v>
      </c>
      <c r="AX354" s="40">
        <f>H354*AP354</f>
        <v>0</v>
      </c>
      <c r="AY354" s="17" t="s">
        <v>106</v>
      </c>
      <c r="AZ354" s="17" t="s">
        <v>195</v>
      </c>
      <c r="BA354" s="11" t="s">
        <v>1003</v>
      </c>
      <c r="BC354" s="40">
        <f>AW354+AX354</f>
        <v>0</v>
      </c>
      <c r="BD354" s="40">
        <f>I354/(100-BE354)*100</f>
        <v>0</v>
      </c>
      <c r="BE354" s="40">
        <v>0</v>
      </c>
      <c r="BF354" s="40">
        <f>354</f>
        <v>354</v>
      </c>
      <c r="BH354" s="40">
        <f>H354*AO354</f>
        <v>0</v>
      </c>
      <c r="BI354" s="40">
        <f>H354*AP354</f>
        <v>0</v>
      </c>
      <c r="BJ354" s="40">
        <f>H354*I354</f>
        <v>0</v>
      </c>
      <c r="BK354" s="40"/>
      <c r="BL354" s="40">
        <v>89</v>
      </c>
    </row>
    <row r="355" spans="1:47" ht="15" customHeight="1">
      <c r="A355" s="24" t="s">
        <v>878</v>
      </c>
      <c r="B355" s="66" t="s">
        <v>61</v>
      </c>
      <c r="C355" s="92" t="s">
        <v>444</v>
      </c>
      <c r="D355" s="92"/>
      <c r="E355" s="92"/>
      <c r="F355" s="92"/>
      <c r="G355" s="3" t="s">
        <v>1172</v>
      </c>
      <c r="H355" s="3" t="s">
        <v>1172</v>
      </c>
      <c r="I355" s="3" t="s">
        <v>1172</v>
      </c>
      <c r="J355" s="63">
        <f>SUM(J356:J357)</f>
        <v>0</v>
      </c>
      <c r="K355" s="63">
        <f>SUM(K356:K357)</f>
        <v>0</v>
      </c>
      <c r="L355" s="63">
        <f>SUM(L356:L357)</f>
        <v>0</v>
      </c>
      <c r="M355" s="4" t="s">
        <v>878</v>
      </c>
      <c r="AI355" s="11" t="s">
        <v>1129</v>
      </c>
      <c r="AS355" s="63">
        <f>SUM(AJ356:AJ357)</f>
        <v>0</v>
      </c>
      <c r="AT355" s="63">
        <f>SUM(AK356:AK357)</f>
        <v>0</v>
      </c>
      <c r="AU355" s="63">
        <f>SUM(AL356:AL357)</f>
        <v>0</v>
      </c>
    </row>
    <row r="356" spans="1:64" ht="15" customHeight="1">
      <c r="A356" s="19" t="s">
        <v>688</v>
      </c>
      <c r="B356" s="59" t="s">
        <v>24</v>
      </c>
      <c r="C356" s="76" t="s">
        <v>1287</v>
      </c>
      <c r="D356" s="76"/>
      <c r="E356" s="76"/>
      <c r="F356" s="76"/>
      <c r="G356" s="59" t="s">
        <v>1041</v>
      </c>
      <c r="H356" s="40">
        <v>299</v>
      </c>
      <c r="I356" s="40">
        <v>0</v>
      </c>
      <c r="J356" s="40">
        <f>H356*AO356</f>
        <v>0</v>
      </c>
      <c r="K356" s="40">
        <f>H356*AP356</f>
        <v>0</v>
      </c>
      <c r="L356" s="40">
        <f>H356*I356</f>
        <v>0</v>
      </c>
      <c r="M356" s="69" t="s">
        <v>868</v>
      </c>
      <c r="Z356" s="40">
        <f>IF(AQ356="5",BJ356,0)</f>
        <v>0</v>
      </c>
      <c r="AB356" s="40">
        <f>IF(AQ356="1",BH356,0)</f>
        <v>0</v>
      </c>
      <c r="AC356" s="40">
        <f>IF(AQ356="1",BI356,0)</f>
        <v>0</v>
      </c>
      <c r="AD356" s="40">
        <f>IF(AQ356="7",BH356,0)</f>
        <v>0</v>
      </c>
      <c r="AE356" s="40">
        <f>IF(AQ356="7",BI356,0)</f>
        <v>0</v>
      </c>
      <c r="AF356" s="40">
        <f>IF(AQ356="2",BH356,0)</f>
        <v>0</v>
      </c>
      <c r="AG356" s="40">
        <f>IF(AQ356="2",BI356,0)</f>
        <v>0</v>
      </c>
      <c r="AH356" s="40">
        <f>IF(AQ356="0",BJ356,0)</f>
        <v>0</v>
      </c>
      <c r="AI356" s="11" t="s">
        <v>1129</v>
      </c>
      <c r="AJ356" s="40">
        <f>IF(AN356=0,L356,0)</f>
        <v>0</v>
      </c>
      <c r="AK356" s="40">
        <f>IF(AN356=15,L356,0)</f>
        <v>0</v>
      </c>
      <c r="AL356" s="40">
        <f>IF(AN356=21,L356,0)</f>
        <v>0</v>
      </c>
      <c r="AN356" s="40">
        <v>21</v>
      </c>
      <c r="AO356" s="40">
        <f>I356*0.563818166540627</f>
        <v>0</v>
      </c>
      <c r="AP356" s="40">
        <f>I356*(1-0.563818166540627)</f>
        <v>0</v>
      </c>
      <c r="AQ356" s="17" t="s">
        <v>1260</v>
      </c>
      <c r="AV356" s="40">
        <f>AW356+AX356</f>
        <v>0</v>
      </c>
      <c r="AW356" s="40">
        <f>H356*AO356</f>
        <v>0</v>
      </c>
      <c r="AX356" s="40">
        <f>H356*AP356</f>
        <v>0</v>
      </c>
      <c r="AY356" s="17" t="s">
        <v>1233</v>
      </c>
      <c r="AZ356" s="17" t="s">
        <v>1240</v>
      </c>
      <c r="BA356" s="11" t="s">
        <v>1003</v>
      </c>
      <c r="BC356" s="40">
        <f>AW356+AX356</f>
        <v>0</v>
      </c>
      <c r="BD356" s="40">
        <f>I356/(100-BE356)*100</f>
        <v>0</v>
      </c>
      <c r="BE356" s="40">
        <v>0</v>
      </c>
      <c r="BF356" s="40">
        <f>356</f>
        <v>356</v>
      </c>
      <c r="BH356" s="40">
        <f>H356*AO356</f>
        <v>0</v>
      </c>
      <c r="BI356" s="40">
        <f>H356*AP356</f>
        <v>0</v>
      </c>
      <c r="BJ356" s="40">
        <f>H356*I356</f>
        <v>0</v>
      </c>
      <c r="BK356" s="40"/>
      <c r="BL356" s="40">
        <v>91</v>
      </c>
    </row>
    <row r="357" spans="1:64" ht="15" customHeight="1">
      <c r="A357" s="19" t="s">
        <v>1224</v>
      </c>
      <c r="B357" s="59" t="s">
        <v>1095</v>
      </c>
      <c r="C357" s="76" t="s">
        <v>862</v>
      </c>
      <c r="D357" s="76"/>
      <c r="E357" s="76"/>
      <c r="F357" s="76"/>
      <c r="G357" s="59" t="s">
        <v>565</v>
      </c>
      <c r="H357" s="40">
        <v>503.26401</v>
      </c>
      <c r="I357" s="40">
        <v>0</v>
      </c>
      <c r="J357" s="40">
        <f>H357*AO357</f>
        <v>0</v>
      </c>
      <c r="K357" s="40">
        <f>H357*AP357</f>
        <v>0</v>
      </c>
      <c r="L357" s="40">
        <f>H357*I357</f>
        <v>0</v>
      </c>
      <c r="M357" s="69" t="s">
        <v>868</v>
      </c>
      <c r="Z357" s="40">
        <f>IF(AQ357="5",BJ357,0)</f>
        <v>0</v>
      </c>
      <c r="AB357" s="40">
        <f>IF(AQ357="1",BH357,0)</f>
        <v>0</v>
      </c>
      <c r="AC357" s="40">
        <f>IF(AQ357="1",BI357,0)</f>
        <v>0</v>
      </c>
      <c r="AD357" s="40">
        <f>IF(AQ357="7",BH357,0)</f>
        <v>0</v>
      </c>
      <c r="AE357" s="40">
        <f>IF(AQ357="7",BI357,0)</f>
        <v>0</v>
      </c>
      <c r="AF357" s="40">
        <f>IF(AQ357="2",BH357,0)</f>
        <v>0</v>
      </c>
      <c r="AG357" s="40">
        <f>IF(AQ357="2",BI357,0)</f>
        <v>0</v>
      </c>
      <c r="AH357" s="40">
        <f>IF(AQ357="0",BJ357,0)</f>
        <v>0</v>
      </c>
      <c r="AI357" s="11" t="s">
        <v>1129</v>
      </c>
      <c r="AJ357" s="40">
        <f>IF(AN357=0,L357,0)</f>
        <v>0</v>
      </c>
      <c r="AK357" s="40">
        <f>IF(AN357=15,L357,0)</f>
        <v>0</v>
      </c>
      <c r="AL357" s="40">
        <f>IF(AN357=21,L357,0)</f>
        <v>0</v>
      </c>
      <c r="AN357" s="40">
        <v>21</v>
      </c>
      <c r="AO357" s="40">
        <f>I357*0</f>
        <v>0</v>
      </c>
      <c r="AP357" s="40">
        <f>I357*(1-0)</f>
        <v>0</v>
      </c>
      <c r="AQ357" s="17" t="s">
        <v>668</v>
      </c>
      <c r="AV357" s="40">
        <f>AW357+AX357</f>
        <v>0</v>
      </c>
      <c r="AW357" s="40">
        <f>H357*AO357</f>
        <v>0</v>
      </c>
      <c r="AX357" s="40">
        <f>H357*AP357</f>
        <v>0</v>
      </c>
      <c r="AY357" s="17" t="s">
        <v>1233</v>
      </c>
      <c r="AZ357" s="17" t="s">
        <v>1240</v>
      </c>
      <c r="BA357" s="11" t="s">
        <v>1003</v>
      </c>
      <c r="BC357" s="40">
        <f>AW357+AX357</f>
        <v>0</v>
      </c>
      <c r="BD357" s="40">
        <f>I357/(100-BE357)*100</f>
        <v>0</v>
      </c>
      <c r="BE357" s="40">
        <v>0</v>
      </c>
      <c r="BF357" s="40">
        <f>357</f>
        <v>357</v>
      </c>
      <c r="BH357" s="40">
        <f>H357*AO357</f>
        <v>0</v>
      </c>
      <c r="BI357" s="40">
        <f>H357*AP357</f>
        <v>0</v>
      </c>
      <c r="BJ357" s="40">
        <f>H357*I357</f>
        <v>0</v>
      </c>
      <c r="BK357" s="40"/>
      <c r="BL357" s="40">
        <v>91</v>
      </c>
    </row>
    <row r="358" spans="1:13" ht="15" customHeight="1">
      <c r="A358" s="24" t="s">
        <v>878</v>
      </c>
      <c r="B358" s="66" t="s">
        <v>878</v>
      </c>
      <c r="C358" s="92" t="s">
        <v>1440</v>
      </c>
      <c r="D358" s="92"/>
      <c r="E358" s="92"/>
      <c r="F358" s="92"/>
      <c r="G358" s="3" t="s">
        <v>1172</v>
      </c>
      <c r="H358" s="3" t="s">
        <v>1172</v>
      </c>
      <c r="I358" s="3" t="s">
        <v>1172</v>
      </c>
      <c r="J358" s="63">
        <f>J359+J372+J374+J377+J380+J383+J386+J389+J392+J394+J397+J399+J408+J415+J435+J437</f>
        <v>0</v>
      </c>
      <c r="K358" s="63">
        <f>K359+K372+K374+K377+K380+K383+K386+K389+K392+K394+K397+K399+K408+K415+K435+K437</f>
        <v>0</v>
      </c>
      <c r="L358" s="63">
        <f>L359+L372+L374+L377+L380+L383+L386+L389+L392+L394+L397+L399+L408+L415+L435+L437</f>
        <v>0</v>
      </c>
      <c r="M358" s="4" t="s">
        <v>878</v>
      </c>
    </row>
    <row r="359" spans="1:47" ht="15" customHeight="1">
      <c r="A359" s="24" t="s">
        <v>878</v>
      </c>
      <c r="B359" s="66" t="s">
        <v>1054</v>
      </c>
      <c r="C359" s="92" t="s">
        <v>690</v>
      </c>
      <c r="D359" s="92"/>
      <c r="E359" s="92"/>
      <c r="F359" s="92"/>
      <c r="G359" s="3" t="s">
        <v>1172</v>
      </c>
      <c r="H359" s="3" t="s">
        <v>1172</v>
      </c>
      <c r="I359" s="3" t="s">
        <v>1172</v>
      </c>
      <c r="J359" s="63">
        <f>SUM(J360:J371)</f>
        <v>0</v>
      </c>
      <c r="K359" s="63">
        <f>SUM(K360:K371)</f>
        <v>0</v>
      </c>
      <c r="L359" s="63">
        <f>SUM(L360:L371)</f>
        <v>0</v>
      </c>
      <c r="M359" s="4" t="s">
        <v>878</v>
      </c>
      <c r="AI359" s="11" t="s">
        <v>1271</v>
      </c>
      <c r="AS359" s="63">
        <f>SUM(AJ360:AJ371)</f>
        <v>0</v>
      </c>
      <c r="AT359" s="63">
        <f>SUM(AK360:AK371)</f>
        <v>0</v>
      </c>
      <c r="AU359" s="63">
        <f>SUM(AL360:AL371)</f>
        <v>0</v>
      </c>
    </row>
    <row r="360" spans="1:64" ht="15" customHeight="1">
      <c r="A360" s="19" t="s">
        <v>1013</v>
      </c>
      <c r="B360" s="59" t="s">
        <v>592</v>
      </c>
      <c r="C360" s="76" t="s">
        <v>772</v>
      </c>
      <c r="D360" s="76"/>
      <c r="E360" s="76"/>
      <c r="F360" s="76"/>
      <c r="G360" s="59" t="s">
        <v>541</v>
      </c>
      <c r="H360" s="40">
        <v>25</v>
      </c>
      <c r="I360" s="40">
        <v>0</v>
      </c>
      <c r="J360" s="40">
        <f aca="true" t="shared" si="230" ref="J360:J371">H360*AO360</f>
        <v>0</v>
      </c>
      <c r="K360" s="40">
        <f aca="true" t="shared" si="231" ref="K360:K371">H360*AP360</f>
        <v>0</v>
      </c>
      <c r="L360" s="40">
        <f aca="true" t="shared" si="232" ref="L360:L371">H360*I360</f>
        <v>0</v>
      </c>
      <c r="M360" s="69" t="s">
        <v>868</v>
      </c>
      <c r="Z360" s="40">
        <f aca="true" t="shared" si="233" ref="Z360:Z371">IF(AQ360="5",BJ360,0)</f>
        <v>0</v>
      </c>
      <c r="AB360" s="40">
        <f aca="true" t="shared" si="234" ref="AB360:AB371">IF(AQ360="1",BH360,0)</f>
        <v>0</v>
      </c>
      <c r="AC360" s="40">
        <f aca="true" t="shared" si="235" ref="AC360:AC371">IF(AQ360="1",BI360,0)</f>
        <v>0</v>
      </c>
      <c r="AD360" s="40">
        <f aca="true" t="shared" si="236" ref="AD360:AD371">IF(AQ360="7",BH360,0)</f>
        <v>0</v>
      </c>
      <c r="AE360" s="40">
        <f aca="true" t="shared" si="237" ref="AE360:AE371">IF(AQ360="7",BI360,0)</f>
        <v>0</v>
      </c>
      <c r="AF360" s="40">
        <f aca="true" t="shared" si="238" ref="AF360:AF371">IF(AQ360="2",BH360,0)</f>
        <v>0</v>
      </c>
      <c r="AG360" s="40">
        <f aca="true" t="shared" si="239" ref="AG360:AG371">IF(AQ360="2",BI360,0)</f>
        <v>0</v>
      </c>
      <c r="AH360" s="40">
        <f aca="true" t="shared" si="240" ref="AH360:AH371">IF(AQ360="0",BJ360,0)</f>
        <v>0</v>
      </c>
      <c r="AI360" s="11" t="s">
        <v>1271</v>
      </c>
      <c r="AJ360" s="40">
        <f aca="true" t="shared" si="241" ref="AJ360:AJ371">IF(AN360=0,L360,0)</f>
        <v>0</v>
      </c>
      <c r="AK360" s="40">
        <f aca="true" t="shared" si="242" ref="AK360:AK371">IF(AN360=15,L360,0)</f>
        <v>0</v>
      </c>
      <c r="AL360" s="40">
        <f aca="true" t="shared" si="243" ref="AL360:AL371">IF(AN360=21,L360,0)</f>
        <v>0</v>
      </c>
      <c r="AN360" s="40">
        <v>21</v>
      </c>
      <c r="AO360" s="40">
        <f>I360*0</f>
        <v>0</v>
      </c>
      <c r="AP360" s="40">
        <f>I360*(1-0)</f>
        <v>0</v>
      </c>
      <c r="AQ360" s="17" t="s">
        <v>1260</v>
      </c>
      <c r="AV360" s="40">
        <f aca="true" t="shared" si="244" ref="AV360:AV371">AW360+AX360</f>
        <v>0</v>
      </c>
      <c r="AW360" s="40">
        <f aca="true" t="shared" si="245" ref="AW360:AW371">H360*AO360</f>
        <v>0</v>
      </c>
      <c r="AX360" s="40">
        <f aca="true" t="shared" si="246" ref="AX360:AX371">H360*AP360</f>
        <v>0</v>
      </c>
      <c r="AY360" s="17" t="s">
        <v>144</v>
      </c>
      <c r="AZ360" s="17" t="s">
        <v>615</v>
      </c>
      <c r="BA360" s="11" t="s">
        <v>140</v>
      </c>
      <c r="BC360" s="40">
        <f aca="true" t="shared" si="247" ref="BC360:BC371">AW360+AX360</f>
        <v>0</v>
      </c>
      <c r="BD360" s="40">
        <f aca="true" t="shared" si="248" ref="BD360:BD371">I360/(100-BE360)*100</f>
        <v>0</v>
      </c>
      <c r="BE360" s="40">
        <v>0</v>
      </c>
      <c r="BF360" s="40">
        <f>360</f>
        <v>360</v>
      </c>
      <c r="BH360" s="40">
        <f aca="true" t="shared" si="249" ref="BH360:BH371">H360*AO360</f>
        <v>0</v>
      </c>
      <c r="BI360" s="40">
        <f aca="true" t="shared" si="250" ref="BI360:BI371">H360*AP360</f>
        <v>0</v>
      </c>
      <c r="BJ360" s="40">
        <f aca="true" t="shared" si="251" ref="BJ360:BJ371">H360*I360</f>
        <v>0</v>
      </c>
      <c r="BK360" s="40"/>
      <c r="BL360" s="40">
        <v>11</v>
      </c>
    </row>
    <row r="361" spans="1:64" ht="15" customHeight="1">
      <c r="A361" s="19" t="s">
        <v>1006</v>
      </c>
      <c r="B361" s="59" t="s">
        <v>142</v>
      </c>
      <c r="C361" s="76" t="s">
        <v>973</v>
      </c>
      <c r="D361" s="76"/>
      <c r="E361" s="76"/>
      <c r="F361" s="76"/>
      <c r="G361" s="59" t="s">
        <v>1041</v>
      </c>
      <c r="H361" s="40">
        <v>10</v>
      </c>
      <c r="I361" s="40">
        <v>0</v>
      </c>
      <c r="J361" s="40">
        <f t="shared" si="230"/>
        <v>0</v>
      </c>
      <c r="K361" s="40">
        <f t="shared" si="231"/>
        <v>0</v>
      </c>
      <c r="L361" s="40">
        <f t="shared" si="232"/>
        <v>0</v>
      </c>
      <c r="M361" s="69" t="s">
        <v>868</v>
      </c>
      <c r="Z361" s="40">
        <f t="shared" si="233"/>
        <v>0</v>
      </c>
      <c r="AB361" s="40">
        <f t="shared" si="234"/>
        <v>0</v>
      </c>
      <c r="AC361" s="40">
        <f t="shared" si="235"/>
        <v>0</v>
      </c>
      <c r="AD361" s="40">
        <f t="shared" si="236"/>
        <v>0</v>
      </c>
      <c r="AE361" s="40">
        <f t="shared" si="237"/>
        <v>0</v>
      </c>
      <c r="AF361" s="40">
        <f t="shared" si="238"/>
        <v>0</v>
      </c>
      <c r="AG361" s="40">
        <f t="shared" si="239"/>
        <v>0</v>
      </c>
      <c r="AH361" s="40">
        <f t="shared" si="240"/>
        <v>0</v>
      </c>
      <c r="AI361" s="11" t="s">
        <v>1271</v>
      </c>
      <c r="AJ361" s="40">
        <f t="shared" si="241"/>
        <v>0</v>
      </c>
      <c r="AK361" s="40">
        <f t="shared" si="242"/>
        <v>0</v>
      </c>
      <c r="AL361" s="40">
        <f t="shared" si="243"/>
        <v>0</v>
      </c>
      <c r="AN361" s="40">
        <v>21</v>
      </c>
      <c r="AO361" s="40">
        <f>I361*0.379482761849473</f>
        <v>0</v>
      </c>
      <c r="AP361" s="40">
        <f>I361*(1-0.379482761849473)</f>
        <v>0</v>
      </c>
      <c r="AQ361" s="17" t="s">
        <v>1260</v>
      </c>
      <c r="AV361" s="40">
        <f t="shared" si="244"/>
        <v>0</v>
      </c>
      <c r="AW361" s="40">
        <f t="shared" si="245"/>
        <v>0</v>
      </c>
      <c r="AX361" s="40">
        <f t="shared" si="246"/>
        <v>0</v>
      </c>
      <c r="AY361" s="17" t="s">
        <v>144</v>
      </c>
      <c r="AZ361" s="17" t="s">
        <v>615</v>
      </c>
      <c r="BA361" s="11" t="s">
        <v>140</v>
      </c>
      <c r="BC361" s="40">
        <f t="shared" si="247"/>
        <v>0</v>
      </c>
      <c r="BD361" s="40">
        <f t="shared" si="248"/>
        <v>0</v>
      </c>
      <c r="BE361" s="40">
        <v>0</v>
      </c>
      <c r="BF361" s="40">
        <f>361</f>
        <v>361</v>
      </c>
      <c r="BH361" s="40">
        <f t="shared" si="249"/>
        <v>0</v>
      </c>
      <c r="BI361" s="40">
        <f t="shared" si="250"/>
        <v>0</v>
      </c>
      <c r="BJ361" s="40">
        <f t="shared" si="251"/>
        <v>0</v>
      </c>
      <c r="BK361" s="40"/>
      <c r="BL361" s="40">
        <v>11</v>
      </c>
    </row>
    <row r="362" spans="1:64" ht="15" customHeight="1">
      <c r="A362" s="19" t="s">
        <v>193</v>
      </c>
      <c r="B362" s="59" t="s">
        <v>1223</v>
      </c>
      <c r="C362" s="76" t="s">
        <v>440</v>
      </c>
      <c r="D362" s="76"/>
      <c r="E362" s="76"/>
      <c r="F362" s="76"/>
      <c r="G362" s="59" t="s">
        <v>76</v>
      </c>
      <c r="H362" s="40">
        <v>25</v>
      </c>
      <c r="I362" s="40">
        <v>0</v>
      </c>
      <c r="J362" s="40">
        <f t="shared" si="230"/>
        <v>0</v>
      </c>
      <c r="K362" s="40">
        <f t="shared" si="231"/>
        <v>0</v>
      </c>
      <c r="L362" s="40">
        <f t="shared" si="232"/>
        <v>0</v>
      </c>
      <c r="M362" s="69" t="s">
        <v>868</v>
      </c>
      <c r="Z362" s="40">
        <f t="shared" si="233"/>
        <v>0</v>
      </c>
      <c r="AB362" s="40">
        <f t="shared" si="234"/>
        <v>0</v>
      </c>
      <c r="AC362" s="40">
        <f t="shared" si="235"/>
        <v>0</v>
      </c>
      <c r="AD362" s="40">
        <f t="shared" si="236"/>
        <v>0</v>
      </c>
      <c r="AE362" s="40">
        <f t="shared" si="237"/>
        <v>0</v>
      </c>
      <c r="AF362" s="40">
        <f t="shared" si="238"/>
        <v>0</v>
      </c>
      <c r="AG362" s="40">
        <f t="shared" si="239"/>
        <v>0</v>
      </c>
      <c r="AH362" s="40">
        <f t="shared" si="240"/>
        <v>0</v>
      </c>
      <c r="AI362" s="11" t="s">
        <v>1271</v>
      </c>
      <c r="AJ362" s="40">
        <f t="shared" si="241"/>
        <v>0</v>
      </c>
      <c r="AK362" s="40">
        <f t="shared" si="242"/>
        <v>0</v>
      </c>
      <c r="AL362" s="40">
        <f t="shared" si="243"/>
        <v>0</v>
      </c>
      <c r="AN362" s="40">
        <v>21</v>
      </c>
      <c r="AO362" s="40">
        <f>I362*0</f>
        <v>0</v>
      </c>
      <c r="AP362" s="40">
        <f>I362*(1-0)</f>
        <v>0</v>
      </c>
      <c r="AQ362" s="17" t="s">
        <v>1260</v>
      </c>
      <c r="AV362" s="40">
        <f t="shared" si="244"/>
        <v>0</v>
      </c>
      <c r="AW362" s="40">
        <f t="shared" si="245"/>
        <v>0</v>
      </c>
      <c r="AX362" s="40">
        <f t="shared" si="246"/>
        <v>0</v>
      </c>
      <c r="AY362" s="17" t="s">
        <v>144</v>
      </c>
      <c r="AZ362" s="17" t="s">
        <v>615</v>
      </c>
      <c r="BA362" s="11" t="s">
        <v>140</v>
      </c>
      <c r="BC362" s="40">
        <f t="shared" si="247"/>
        <v>0</v>
      </c>
      <c r="BD362" s="40">
        <f t="shared" si="248"/>
        <v>0</v>
      </c>
      <c r="BE362" s="40">
        <v>0</v>
      </c>
      <c r="BF362" s="40">
        <f>362</f>
        <v>362</v>
      </c>
      <c r="BH362" s="40">
        <f t="shared" si="249"/>
        <v>0</v>
      </c>
      <c r="BI362" s="40">
        <f t="shared" si="250"/>
        <v>0</v>
      </c>
      <c r="BJ362" s="40">
        <f t="shared" si="251"/>
        <v>0</v>
      </c>
      <c r="BK362" s="40"/>
      <c r="BL362" s="40">
        <v>11</v>
      </c>
    </row>
    <row r="363" spans="1:64" ht="15" customHeight="1">
      <c r="A363" s="19" t="s">
        <v>529</v>
      </c>
      <c r="B363" s="59" t="s">
        <v>927</v>
      </c>
      <c r="C363" s="76" t="s">
        <v>796</v>
      </c>
      <c r="D363" s="76"/>
      <c r="E363" s="76"/>
      <c r="F363" s="76"/>
      <c r="G363" s="59" t="s">
        <v>1041</v>
      </c>
      <c r="H363" s="40">
        <v>13</v>
      </c>
      <c r="I363" s="40">
        <v>0</v>
      </c>
      <c r="J363" s="40">
        <f t="shared" si="230"/>
        <v>0</v>
      </c>
      <c r="K363" s="40">
        <f t="shared" si="231"/>
        <v>0</v>
      </c>
      <c r="L363" s="40">
        <f t="shared" si="232"/>
        <v>0</v>
      </c>
      <c r="M363" s="69" t="s">
        <v>868</v>
      </c>
      <c r="Z363" s="40">
        <f t="shared" si="233"/>
        <v>0</v>
      </c>
      <c r="AB363" s="40">
        <f t="shared" si="234"/>
        <v>0</v>
      </c>
      <c r="AC363" s="40">
        <f t="shared" si="235"/>
        <v>0</v>
      </c>
      <c r="AD363" s="40">
        <f t="shared" si="236"/>
        <v>0</v>
      </c>
      <c r="AE363" s="40">
        <f t="shared" si="237"/>
        <v>0</v>
      </c>
      <c r="AF363" s="40">
        <f t="shared" si="238"/>
        <v>0</v>
      </c>
      <c r="AG363" s="40">
        <f t="shared" si="239"/>
        <v>0</v>
      </c>
      <c r="AH363" s="40">
        <f t="shared" si="240"/>
        <v>0</v>
      </c>
      <c r="AI363" s="11" t="s">
        <v>1271</v>
      </c>
      <c r="AJ363" s="40">
        <f t="shared" si="241"/>
        <v>0</v>
      </c>
      <c r="AK363" s="40">
        <f t="shared" si="242"/>
        <v>0</v>
      </c>
      <c r="AL363" s="40">
        <f t="shared" si="243"/>
        <v>0</v>
      </c>
      <c r="AN363" s="40">
        <v>21</v>
      </c>
      <c r="AO363" s="40">
        <f>I363*0.352956636005256</f>
        <v>0</v>
      </c>
      <c r="AP363" s="40">
        <f>I363*(1-0.352956636005256)</f>
        <v>0</v>
      </c>
      <c r="AQ363" s="17" t="s">
        <v>1260</v>
      </c>
      <c r="AV363" s="40">
        <f t="shared" si="244"/>
        <v>0</v>
      </c>
      <c r="AW363" s="40">
        <f t="shared" si="245"/>
        <v>0</v>
      </c>
      <c r="AX363" s="40">
        <f t="shared" si="246"/>
        <v>0</v>
      </c>
      <c r="AY363" s="17" t="s">
        <v>144</v>
      </c>
      <c r="AZ363" s="17" t="s">
        <v>615</v>
      </c>
      <c r="BA363" s="11" t="s">
        <v>140</v>
      </c>
      <c r="BC363" s="40">
        <f t="shared" si="247"/>
        <v>0</v>
      </c>
      <c r="BD363" s="40">
        <f t="shared" si="248"/>
        <v>0</v>
      </c>
      <c r="BE363" s="40">
        <v>0</v>
      </c>
      <c r="BF363" s="40">
        <f>363</f>
        <v>363</v>
      </c>
      <c r="BH363" s="40">
        <f t="shared" si="249"/>
        <v>0</v>
      </c>
      <c r="BI363" s="40">
        <f t="shared" si="250"/>
        <v>0</v>
      </c>
      <c r="BJ363" s="40">
        <f t="shared" si="251"/>
        <v>0</v>
      </c>
      <c r="BK363" s="40"/>
      <c r="BL363" s="40">
        <v>11</v>
      </c>
    </row>
    <row r="364" spans="1:64" ht="15" customHeight="1">
      <c r="A364" s="19" t="s">
        <v>271</v>
      </c>
      <c r="B364" s="59" t="s">
        <v>1061</v>
      </c>
      <c r="C364" s="76" t="s">
        <v>1192</v>
      </c>
      <c r="D364" s="76"/>
      <c r="E364" s="76"/>
      <c r="F364" s="76"/>
      <c r="G364" s="59" t="s">
        <v>1041</v>
      </c>
      <c r="H364" s="40">
        <v>20</v>
      </c>
      <c r="I364" s="40">
        <v>0</v>
      </c>
      <c r="J364" s="40">
        <f t="shared" si="230"/>
        <v>0</v>
      </c>
      <c r="K364" s="40">
        <f t="shared" si="231"/>
        <v>0</v>
      </c>
      <c r="L364" s="40">
        <f t="shared" si="232"/>
        <v>0</v>
      </c>
      <c r="M364" s="69" t="s">
        <v>868</v>
      </c>
      <c r="Z364" s="40">
        <f t="shared" si="233"/>
        <v>0</v>
      </c>
      <c r="AB364" s="40">
        <f t="shared" si="234"/>
        <v>0</v>
      </c>
      <c r="AC364" s="40">
        <f t="shared" si="235"/>
        <v>0</v>
      </c>
      <c r="AD364" s="40">
        <f t="shared" si="236"/>
        <v>0</v>
      </c>
      <c r="AE364" s="40">
        <f t="shared" si="237"/>
        <v>0</v>
      </c>
      <c r="AF364" s="40">
        <f t="shared" si="238"/>
        <v>0</v>
      </c>
      <c r="AG364" s="40">
        <f t="shared" si="239"/>
        <v>0</v>
      </c>
      <c r="AH364" s="40">
        <f t="shared" si="240"/>
        <v>0</v>
      </c>
      <c r="AI364" s="11" t="s">
        <v>1271</v>
      </c>
      <c r="AJ364" s="40">
        <f t="shared" si="241"/>
        <v>0</v>
      </c>
      <c r="AK364" s="40">
        <f t="shared" si="242"/>
        <v>0</v>
      </c>
      <c r="AL364" s="40">
        <f t="shared" si="243"/>
        <v>0</v>
      </c>
      <c r="AN364" s="40">
        <v>21</v>
      </c>
      <c r="AO364" s="40">
        <f>I364*0.282187147688839</f>
        <v>0</v>
      </c>
      <c r="AP364" s="40">
        <f>I364*(1-0.282187147688839)</f>
        <v>0</v>
      </c>
      <c r="AQ364" s="17" t="s">
        <v>1260</v>
      </c>
      <c r="AV364" s="40">
        <f t="shared" si="244"/>
        <v>0</v>
      </c>
      <c r="AW364" s="40">
        <f t="shared" si="245"/>
        <v>0</v>
      </c>
      <c r="AX364" s="40">
        <f t="shared" si="246"/>
        <v>0</v>
      </c>
      <c r="AY364" s="17" t="s">
        <v>144</v>
      </c>
      <c r="AZ364" s="17" t="s">
        <v>615</v>
      </c>
      <c r="BA364" s="11" t="s">
        <v>140</v>
      </c>
      <c r="BC364" s="40">
        <f t="shared" si="247"/>
        <v>0</v>
      </c>
      <c r="BD364" s="40">
        <f t="shared" si="248"/>
        <v>0</v>
      </c>
      <c r="BE364" s="40">
        <v>0</v>
      </c>
      <c r="BF364" s="40">
        <f>364</f>
        <v>364</v>
      </c>
      <c r="BH364" s="40">
        <f t="shared" si="249"/>
        <v>0</v>
      </c>
      <c r="BI364" s="40">
        <f t="shared" si="250"/>
        <v>0</v>
      </c>
      <c r="BJ364" s="40">
        <f t="shared" si="251"/>
        <v>0</v>
      </c>
      <c r="BK364" s="40"/>
      <c r="BL364" s="40">
        <v>11</v>
      </c>
    </row>
    <row r="365" spans="1:64" ht="15" customHeight="1">
      <c r="A365" s="19" t="s">
        <v>517</v>
      </c>
      <c r="B365" s="59" t="s">
        <v>1268</v>
      </c>
      <c r="C365" s="76" t="s">
        <v>1082</v>
      </c>
      <c r="D365" s="76"/>
      <c r="E365" s="76"/>
      <c r="F365" s="76"/>
      <c r="G365" s="59" t="s">
        <v>1041</v>
      </c>
      <c r="H365" s="40">
        <v>125</v>
      </c>
      <c r="I365" s="40">
        <v>0</v>
      </c>
      <c r="J365" s="40">
        <f t="shared" si="230"/>
        <v>0</v>
      </c>
      <c r="K365" s="40">
        <f t="shared" si="231"/>
        <v>0</v>
      </c>
      <c r="L365" s="40">
        <f t="shared" si="232"/>
        <v>0</v>
      </c>
      <c r="M365" s="69" t="s">
        <v>868</v>
      </c>
      <c r="Z365" s="40">
        <f t="shared" si="233"/>
        <v>0</v>
      </c>
      <c r="AB365" s="40">
        <f t="shared" si="234"/>
        <v>0</v>
      </c>
      <c r="AC365" s="40">
        <f t="shared" si="235"/>
        <v>0</v>
      </c>
      <c r="AD365" s="40">
        <f t="shared" si="236"/>
        <v>0</v>
      </c>
      <c r="AE365" s="40">
        <f t="shared" si="237"/>
        <v>0</v>
      </c>
      <c r="AF365" s="40">
        <f t="shared" si="238"/>
        <v>0</v>
      </c>
      <c r="AG365" s="40">
        <f t="shared" si="239"/>
        <v>0</v>
      </c>
      <c r="AH365" s="40">
        <f t="shared" si="240"/>
        <v>0</v>
      </c>
      <c r="AI365" s="11" t="s">
        <v>1271</v>
      </c>
      <c r="AJ365" s="40">
        <f t="shared" si="241"/>
        <v>0</v>
      </c>
      <c r="AK365" s="40">
        <f t="shared" si="242"/>
        <v>0</v>
      </c>
      <c r="AL365" s="40">
        <f t="shared" si="243"/>
        <v>0</v>
      </c>
      <c r="AN365" s="40">
        <v>21</v>
      </c>
      <c r="AO365" s="40">
        <f>I365*0.256844997804501</f>
        <v>0</v>
      </c>
      <c r="AP365" s="40">
        <f>I365*(1-0.256844997804501)</f>
        <v>0</v>
      </c>
      <c r="AQ365" s="17" t="s">
        <v>1260</v>
      </c>
      <c r="AV365" s="40">
        <f t="shared" si="244"/>
        <v>0</v>
      </c>
      <c r="AW365" s="40">
        <f t="shared" si="245"/>
        <v>0</v>
      </c>
      <c r="AX365" s="40">
        <f t="shared" si="246"/>
        <v>0</v>
      </c>
      <c r="AY365" s="17" t="s">
        <v>144</v>
      </c>
      <c r="AZ365" s="17" t="s">
        <v>615</v>
      </c>
      <c r="BA365" s="11" t="s">
        <v>140</v>
      </c>
      <c r="BC365" s="40">
        <f t="shared" si="247"/>
        <v>0</v>
      </c>
      <c r="BD365" s="40">
        <f t="shared" si="248"/>
        <v>0</v>
      </c>
      <c r="BE365" s="40">
        <v>0</v>
      </c>
      <c r="BF365" s="40">
        <f>365</f>
        <v>365</v>
      </c>
      <c r="BH365" s="40">
        <f t="shared" si="249"/>
        <v>0</v>
      </c>
      <c r="BI365" s="40">
        <f t="shared" si="250"/>
        <v>0</v>
      </c>
      <c r="BJ365" s="40">
        <f t="shared" si="251"/>
        <v>0</v>
      </c>
      <c r="BK365" s="40"/>
      <c r="BL365" s="40">
        <v>11</v>
      </c>
    </row>
    <row r="366" spans="1:64" ht="15" customHeight="1">
      <c r="A366" s="19" t="s">
        <v>29</v>
      </c>
      <c r="B366" s="59" t="s">
        <v>746</v>
      </c>
      <c r="C366" s="76" t="s">
        <v>627</v>
      </c>
      <c r="D366" s="76"/>
      <c r="E366" s="76"/>
      <c r="F366" s="76"/>
      <c r="G366" s="59" t="s">
        <v>1243</v>
      </c>
      <c r="H366" s="40">
        <v>350.19</v>
      </c>
      <c r="I366" s="40">
        <v>0</v>
      </c>
      <c r="J366" s="40">
        <f t="shared" si="230"/>
        <v>0</v>
      </c>
      <c r="K366" s="40">
        <f t="shared" si="231"/>
        <v>0</v>
      </c>
      <c r="L366" s="40">
        <f t="shared" si="232"/>
        <v>0</v>
      </c>
      <c r="M366" s="69" t="s">
        <v>868</v>
      </c>
      <c r="Z366" s="40">
        <f t="shared" si="233"/>
        <v>0</v>
      </c>
      <c r="AB366" s="40">
        <f t="shared" si="234"/>
        <v>0</v>
      </c>
      <c r="AC366" s="40">
        <f t="shared" si="235"/>
        <v>0</v>
      </c>
      <c r="AD366" s="40">
        <f t="shared" si="236"/>
        <v>0</v>
      </c>
      <c r="AE366" s="40">
        <f t="shared" si="237"/>
        <v>0</v>
      </c>
      <c r="AF366" s="40">
        <f t="shared" si="238"/>
        <v>0</v>
      </c>
      <c r="AG366" s="40">
        <f t="shared" si="239"/>
        <v>0</v>
      </c>
      <c r="AH366" s="40">
        <f t="shared" si="240"/>
        <v>0</v>
      </c>
      <c r="AI366" s="11" t="s">
        <v>1271</v>
      </c>
      <c r="AJ366" s="40">
        <f t="shared" si="241"/>
        <v>0</v>
      </c>
      <c r="AK366" s="40">
        <f t="shared" si="242"/>
        <v>0</v>
      </c>
      <c r="AL366" s="40">
        <f t="shared" si="243"/>
        <v>0</v>
      </c>
      <c r="AN366" s="40">
        <v>21</v>
      </c>
      <c r="AO366" s="40">
        <f aca="true" t="shared" si="252" ref="AO366:AO371">I366*0</f>
        <v>0</v>
      </c>
      <c r="AP366" s="40">
        <f aca="true" t="shared" si="253" ref="AP366:AP371">I366*(1-0)</f>
        <v>0</v>
      </c>
      <c r="AQ366" s="17" t="s">
        <v>1260</v>
      </c>
      <c r="AV366" s="40">
        <f t="shared" si="244"/>
        <v>0</v>
      </c>
      <c r="AW366" s="40">
        <f t="shared" si="245"/>
        <v>0</v>
      </c>
      <c r="AX366" s="40">
        <f t="shared" si="246"/>
        <v>0</v>
      </c>
      <c r="AY366" s="17" t="s">
        <v>144</v>
      </c>
      <c r="AZ366" s="17" t="s">
        <v>615</v>
      </c>
      <c r="BA366" s="11" t="s">
        <v>140</v>
      </c>
      <c r="BC366" s="40">
        <f t="shared" si="247"/>
        <v>0</v>
      </c>
      <c r="BD366" s="40">
        <f t="shared" si="248"/>
        <v>0</v>
      </c>
      <c r="BE366" s="40">
        <v>0</v>
      </c>
      <c r="BF366" s="40">
        <f>366</f>
        <v>366</v>
      </c>
      <c r="BH366" s="40">
        <f t="shared" si="249"/>
        <v>0</v>
      </c>
      <c r="BI366" s="40">
        <f t="shared" si="250"/>
        <v>0</v>
      </c>
      <c r="BJ366" s="40">
        <f t="shared" si="251"/>
        <v>0</v>
      </c>
      <c r="BK366" s="40"/>
      <c r="BL366" s="40">
        <v>11</v>
      </c>
    </row>
    <row r="367" spans="1:64" ht="15" customHeight="1">
      <c r="A367" s="19" t="s">
        <v>1085</v>
      </c>
      <c r="B367" s="59" t="s">
        <v>1424</v>
      </c>
      <c r="C367" s="76" t="s">
        <v>725</v>
      </c>
      <c r="D367" s="76"/>
      <c r="E367" s="76"/>
      <c r="F367" s="76"/>
      <c r="G367" s="59" t="s">
        <v>1243</v>
      </c>
      <c r="H367" s="40">
        <v>350.19</v>
      </c>
      <c r="I367" s="40">
        <v>0</v>
      </c>
      <c r="J367" s="40">
        <f t="shared" si="230"/>
        <v>0</v>
      </c>
      <c r="K367" s="40">
        <f t="shared" si="231"/>
        <v>0</v>
      </c>
      <c r="L367" s="40">
        <f t="shared" si="232"/>
        <v>0</v>
      </c>
      <c r="M367" s="69" t="s">
        <v>868</v>
      </c>
      <c r="Z367" s="40">
        <f t="shared" si="233"/>
        <v>0</v>
      </c>
      <c r="AB367" s="40">
        <f t="shared" si="234"/>
        <v>0</v>
      </c>
      <c r="AC367" s="40">
        <f t="shared" si="235"/>
        <v>0</v>
      </c>
      <c r="AD367" s="40">
        <f t="shared" si="236"/>
        <v>0</v>
      </c>
      <c r="AE367" s="40">
        <f t="shared" si="237"/>
        <v>0</v>
      </c>
      <c r="AF367" s="40">
        <f t="shared" si="238"/>
        <v>0</v>
      </c>
      <c r="AG367" s="40">
        <f t="shared" si="239"/>
        <v>0</v>
      </c>
      <c r="AH367" s="40">
        <f t="shared" si="240"/>
        <v>0</v>
      </c>
      <c r="AI367" s="11" t="s">
        <v>1271</v>
      </c>
      <c r="AJ367" s="40">
        <f t="shared" si="241"/>
        <v>0</v>
      </c>
      <c r="AK367" s="40">
        <f t="shared" si="242"/>
        <v>0</v>
      </c>
      <c r="AL367" s="40">
        <f t="shared" si="243"/>
        <v>0</v>
      </c>
      <c r="AN367" s="40">
        <v>21</v>
      </c>
      <c r="AO367" s="40">
        <f t="shared" si="252"/>
        <v>0</v>
      </c>
      <c r="AP367" s="40">
        <f t="shared" si="253"/>
        <v>0</v>
      </c>
      <c r="AQ367" s="17" t="s">
        <v>1260</v>
      </c>
      <c r="AV367" s="40">
        <f t="shared" si="244"/>
        <v>0</v>
      </c>
      <c r="AW367" s="40">
        <f t="shared" si="245"/>
        <v>0</v>
      </c>
      <c r="AX367" s="40">
        <f t="shared" si="246"/>
        <v>0</v>
      </c>
      <c r="AY367" s="17" t="s">
        <v>144</v>
      </c>
      <c r="AZ367" s="17" t="s">
        <v>615</v>
      </c>
      <c r="BA367" s="11" t="s">
        <v>140</v>
      </c>
      <c r="BC367" s="40">
        <f t="shared" si="247"/>
        <v>0</v>
      </c>
      <c r="BD367" s="40">
        <f t="shared" si="248"/>
        <v>0</v>
      </c>
      <c r="BE367" s="40">
        <v>0</v>
      </c>
      <c r="BF367" s="40">
        <f>367</f>
        <v>367</v>
      </c>
      <c r="BH367" s="40">
        <f t="shared" si="249"/>
        <v>0</v>
      </c>
      <c r="BI367" s="40">
        <f t="shared" si="250"/>
        <v>0</v>
      </c>
      <c r="BJ367" s="40">
        <f t="shared" si="251"/>
        <v>0</v>
      </c>
      <c r="BK367" s="40"/>
      <c r="BL367" s="40">
        <v>11</v>
      </c>
    </row>
    <row r="368" spans="1:64" ht="15" customHeight="1">
      <c r="A368" s="19" t="s">
        <v>1149</v>
      </c>
      <c r="B368" s="59" t="s">
        <v>291</v>
      </c>
      <c r="C368" s="76" t="s">
        <v>413</v>
      </c>
      <c r="D368" s="76"/>
      <c r="E368" s="76"/>
      <c r="F368" s="76"/>
      <c r="G368" s="59" t="s">
        <v>565</v>
      </c>
      <c r="H368" s="40">
        <v>77.0418</v>
      </c>
      <c r="I368" s="40">
        <v>0</v>
      </c>
      <c r="J368" s="40">
        <f t="shared" si="230"/>
        <v>0</v>
      </c>
      <c r="K368" s="40">
        <f t="shared" si="231"/>
        <v>0</v>
      </c>
      <c r="L368" s="40">
        <f t="shared" si="232"/>
        <v>0</v>
      </c>
      <c r="M368" s="69" t="s">
        <v>868</v>
      </c>
      <c r="Z368" s="40">
        <f t="shared" si="233"/>
        <v>0</v>
      </c>
      <c r="AB368" s="40">
        <f t="shared" si="234"/>
        <v>0</v>
      </c>
      <c r="AC368" s="40">
        <f t="shared" si="235"/>
        <v>0</v>
      </c>
      <c r="AD368" s="40">
        <f t="shared" si="236"/>
        <v>0</v>
      </c>
      <c r="AE368" s="40">
        <f t="shared" si="237"/>
        <v>0</v>
      </c>
      <c r="AF368" s="40">
        <f t="shared" si="238"/>
        <v>0</v>
      </c>
      <c r="AG368" s="40">
        <f t="shared" si="239"/>
        <v>0</v>
      </c>
      <c r="AH368" s="40">
        <f t="shared" si="240"/>
        <v>0</v>
      </c>
      <c r="AI368" s="11" t="s">
        <v>1271</v>
      </c>
      <c r="AJ368" s="40">
        <f t="shared" si="241"/>
        <v>0</v>
      </c>
      <c r="AK368" s="40">
        <f t="shared" si="242"/>
        <v>0</v>
      </c>
      <c r="AL368" s="40">
        <f t="shared" si="243"/>
        <v>0</v>
      </c>
      <c r="AN368" s="40">
        <v>21</v>
      </c>
      <c r="AO368" s="40">
        <f t="shared" si="252"/>
        <v>0</v>
      </c>
      <c r="AP368" s="40">
        <f t="shared" si="253"/>
        <v>0</v>
      </c>
      <c r="AQ368" s="17" t="s">
        <v>668</v>
      </c>
      <c r="AV368" s="40">
        <f t="shared" si="244"/>
        <v>0</v>
      </c>
      <c r="AW368" s="40">
        <f t="shared" si="245"/>
        <v>0</v>
      </c>
      <c r="AX368" s="40">
        <f t="shared" si="246"/>
        <v>0</v>
      </c>
      <c r="AY368" s="17" t="s">
        <v>144</v>
      </c>
      <c r="AZ368" s="17" t="s">
        <v>615</v>
      </c>
      <c r="BA368" s="11" t="s">
        <v>140</v>
      </c>
      <c r="BC368" s="40">
        <f t="shared" si="247"/>
        <v>0</v>
      </c>
      <c r="BD368" s="40">
        <f t="shared" si="248"/>
        <v>0</v>
      </c>
      <c r="BE368" s="40">
        <v>0</v>
      </c>
      <c r="BF368" s="40">
        <f>368</f>
        <v>368</v>
      </c>
      <c r="BH368" s="40">
        <f t="shared" si="249"/>
        <v>0</v>
      </c>
      <c r="BI368" s="40">
        <f t="shared" si="250"/>
        <v>0</v>
      </c>
      <c r="BJ368" s="40">
        <f t="shared" si="251"/>
        <v>0</v>
      </c>
      <c r="BK368" s="40"/>
      <c r="BL368" s="40">
        <v>11</v>
      </c>
    </row>
    <row r="369" spans="1:64" ht="15" customHeight="1">
      <c r="A369" s="19" t="s">
        <v>998</v>
      </c>
      <c r="B369" s="59" t="s">
        <v>975</v>
      </c>
      <c r="C369" s="76" t="s">
        <v>657</v>
      </c>
      <c r="D369" s="76"/>
      <c r="E369" s="76"/>
      <c r="F369" s="76"/>
      <c r="G369" s="59" t="s">
        <v>565</v>
      </c>
      <c r="H369" s="40">
        <v>4.7</v>
      </c>
      <c r="I369" s="40">
        <v>0</v>
      </c>
      <c r="J369" s="40">
        <f t="shared" si="230"/>
        <v>0</v>
      </c>
      <c r="K369" s="40">
        <f t="shared" si="231"/>
        <v>0</v>
      </c>
      <c r="L369" s="40">
        <f t="shared" si="232"/>
        <v>0</v>
      </c>
      <c r="M369" s="69" t="s">
        <v>868</v>
      </c>
      <c r="Z369" s="40">
        <f t="shared" si="233"/>
        <v>0</v>
      </c>
      <c r="AB369" s="40">
        <f t="shared" si="234"/>
        <v>0</v>
      </c>
      <c r="AC369" s="40">
        <f t="shared" si="235"/>
        <v>0</v>
      </c>
      <c r="AD369" s="40">
        <f t="shared" si="236"/>
        <v>0</v>
      </c>
      <c r="AE369" s="40">
        <f t="shared" si="237"/>
        <v>0</v>
      </c>
      <c r="AF369" s="40">
        <f t="shared" si="238"/>
        <v>0</v>
      </c>
      <c r="AG369" s="40">
        <f t="shared" si="239"/>
        <v>0</v>
      </c>
      <c r="AH369" s="40">
        <f t="shared" si="240"/>
        <v>0</v>
      </c>
      <c r="AI369" s="11" t="s">
        <v>1271</v>
      </c>
      <c r="AJ369" s="40">
        <f t="shared" si="241"/>
        <v>0</v>
      </c>
      <c r="AK369" s="40">
        <f t="shared" si="242"/>
        <v>0</v>
      </c>
      <c r="AL369" s="40">
        <f t="shared" si="243"/>
        <v>0</v>
      </c>
      <c r="AN369" s="40">
        <v>21</v>
      </c>
      <c r="AO369" s="40">
        <f t="shared" si="252"/>
        <v>0</v>
      </c>
      <c r="AP369" s="40">
        <f t="shared" si="253"/>
        <v>0</v>
      </c>
      <c r="AQ369" s="17" t="s">
        <v>668</v>
      </c>
      <c r="AV369" s="40">
        <f t="shared" si="244"/>
        <v>0</v>
      </c>
      <c r="AW369" s="40">
        <f t="shared" si="245"/>
        <v>0</v>
      </c>
      <c r="AX369" s="40">
        <f t="shared" si="246"/>
        <v>0</v>
      </c>
      <c r="AY369" s="17" t="s">
        <v>144</v>
      </c>
      <c r="AZ369" s="17" t="s">
        <v>615</v>
      </c>
      <c r="BA369" s="11" t="s">
        <v>140</v>
      </c>
      <c r="BC369" s="40">
        <f t="shared" si="247"/>
        <v>0</v>
      </c>
      <c r="BD369" s="40">
        <f t="shared" si="248"/>
        <v>0</v>
      </c>
      <c r="BE369" s="40">
        <v>0</v>
      </c>
      <c r="BF369" s="40">
        <f>369</f>
        <v>369</v>
      </c>
      <c r="BH369" s="40">
        <f t="shared" si="249"/>
        <v>0</v>
      </c>
      <c r="BI369" s="40">
        <f t="shared" si="250"/>
        <v>0</v>
      </c>
      <c r="BJ369" s="40">
        <f t="shared" si="251"/>
        <v>0</v>
      </c>
      <c r="BK369" s="40"/>
      <c r="BL369" s="40">
        <v>11</v>
      </c>
    </row>
    <row r="370" spans="1:64" ht="15" customHeight="1">
      <c r="A370" s="19" t="s">
        <v>419</v>
      </c>
      <c r="B370" s="59" t="s">
        <v>0</v>
      </c>
      <c r="C370" s="76" t="s">
        <v>322</v>
      </c>
      <c r="D370" s="76"/>
      <c r="E370" s="76"/>
      <c r="F370" s="76"/>
      <c r="G370" s="59" t="s">
        <v>565</v>
      </c>
      <c r="H370" s="40">
        <v>89.3</v>
      </c>
      <c r="I370" s="40">
        <v>0</v>
      </c>
      <c r="J370" s="40">
        <f t="shared" si="230"/>
        <v>0</v>
      </c>
      <c r="K370" s="40">
        <f t="shared" si="231"/>
        <v>0</v>
      </c>
      <c r="L370" s="40">
        <f t="shared" si="232"/>
        <v>0</v>
      </c>
      <c r="M370" s="69" t="s">
        <v>868</v>
      </c>
      <c r="Z370" s="40">
        <f t="shared" si="233"/>
        <v>0</v>
      </c>
      <c r="AB370" s="40">
        <f t="shared" si="234"/>
        <v>0</v>
      </c>
      <c r="AC370" s="40">
        <f t="shared" si="235"/>
        <v>0</v>
      </c>
      <c r="AD370" s="40">
        <f t="shared" si="236"/>
        <v>0</v>
      </c>
      <c r="AE370" s="40">
        <f t="shared" si="237"/>
        <v>0</v>
      </c>
      <c r="AF370" s="40">
        <f t="shared" si="238"/>
        <v>0</v>
      </c>
      <c r="AG370" s="40">
        <f t="shared" si="239"/>
        <v>0</v>
      </c>
      <c r="AH370" s="40">
        <f t="shared" si="240"/>
        <v>0</v>
      </c>
      <c r="AI370" s="11" t="s">
        <v>1271</v>
      </c>
      <c r="AJ370" s="40">
        <f t="shared" si="241"/>
        <v>0</v>
      </c>
      <c r="AK370" s="40">
        <f t="shared" si="242"/>
        <v>0</v>
      </c>
      <c r="AL370" s="40">
        <f t="shared" si="243"/>
        <v>0</v>
      </c>
      <c r="AN370" s="40">
        <v>21</v>
      </c>
      <c r="AO370" s="40">
        <f t="shared" si="252"/>
        <v>0</v>
      </c>
      <c r="AP370" s="40">
        <f t="shared" si="253"/>
        <v>0</v>
      </c>
      <c r="AQ370" s="17" t="s">
        <v>668</v>
      </c>
      <c r="AV370" s="40">
        <f t="shared" si="244"/>
        <v>0</v>
      </c>
      <c r="AW370" s="40">
        <f t="shared" si="245"/>
        <v>0</v>
      </c>
      <c r="AX370" s="40">
        <f t="shared" si="246"/>
        <v>0</v>
      </c>
      <c r="AY370" s="17" t="s">
        <v>144</v>
      </c>
      <c r="AZ370" s="17" t="s">
        <v>615</v>
      </c>
      <c r="BA370" s="11" t="s">
        <v>140</v>
      </c>
      <c r="BC370" s="40">
        <f t="shared" si="247"/>
        <v>0</v>
      </c>
      <c r="BD370" s="40">
        <f t="shared" si="248"/>
        <v>0</v>
      </c>
      <c r="BE370" s="40">
        <v>0</v>
      </c>
      <c r="BF370" s="40">
        <f>370</f>
        <v>370</v>
      </c>
      <c r="BH370" s="40">
        <f t="shared" si="249"/>
        <v>0</v>
      </c>
      <c r="BI370" s="40">
        <f t="shared" si="250"/>
        <v>0</v>
      </c>
      <c r="BJ370" s="40">
        <f t="shared" si="251"/>
        <v>0</v>
      </c>
      <c r="BK370" s="40"/>
      <c r="BL370" s="40">
        <v>11</v>
      </c>
    </row>
    <row r="371" spans="1:64" ht="15" customHeight="1">
      <c r="A371" s="19" t="s">
        <v>1008</v>
      </c>
      <c r="B371" s="59" t="s">
        <v>56</v>
      </c>
      <c r="C371" s="76" t="s">
        <v>586</v>
      </c>
      <c r="D371" s="76"/>
      <c r="E371" s="76"/>
      <c r="F371" s="76"/>
      <c r="G371" s="59" t="s">
        <v>565</v>
      </c>
      <c r="H371" s="40">
        <v>4.7</v>
      </c>
      <c r="I371" s="40">
        <v>0</v>
      </c>
      <c r="J371" s="40">
        <f t="shared" si="230"/>
        <v>0</v>
      </c>
      <c r="K371" s="40">
        <f t="shared" si="231"/>
        <v>0</v>
      </c>
      <c r="L371" s="40">
        <f t="shared" si="232"/>
        <v>0</v>
      </c>
      <c r="M371" s="69" t="s">
        <v>868</v>
      </c>
      <c r="Z371" s="40">
        <f t="shared" si="233"/>
        <v>0</v>
      </c>
      <c r="AB371" s="40">
        <f t="shared" si="234"/>
        <v>0</v>
      </c>
      <c r="AC371" s="40">
        <f t="shared" si="235"/>
        <v>0</v>
      </c>
      <c r="AD371" s="40">
        <f t="shared" si="236"/>
        <v>0</v>
      </c>
      <c r="AE371" s="40">
        <f t="shared" si="237"/>
        <v>0</v>
      </c>
      <c r="AF371" s="40">
        <f t="shared" si="238"/>
        <v>0</v>
      </c>
      <c r="AG371" s="40">
        <f t="shared" si="239"/>
        <v>0</v>
      </c>
      <c r="AH371" s="40">
        <f t="shared" si="240"/>
        <v>0</v>
      </c>
      <c r="AI371" s="11" t="s">
        <v>1271</v>
      </c>
      <c r="AJ371" s="40">
        <f t="shared" si="241"/>
        <v>0</v>
      </c>
      <c r="AK371" s="40">
        <f t="shared" si="242"/>
        <v>0</v>
      </c>
      <c r="AL371" s="40">
        <f t="shared" si="243"/>
        <v>0</v>
      </c>
      <c r="AN371" s="40">
        <v>21</v>
      </c>
      <c r="AO371" s="40">
        <f t="shared" si="252"/>
        <v>0</v>
      </c>
      <c r="AP371" s="40">
        <f t="shared" si="253"/>
        <v>0</v>
      </c>
      <c r="AQ371" s="17" t="s">
        <v>668</v>
      </c>
      <c r="AV371" s="40">
        <f t="shared" si="244"/>
        <v>0</v>
      </c>
      <c r="AW371" s="40">
        <f t="shared" si="245"/>
        <v>0</v>
      </c>
      <c r="AX371" s="40">
        <f t="shared" si="246"/>
        <v>0</v>
      </c>
      <c r="AY371" s="17" t="s">
        <v>144</v>
      </c>
      <c r="AZ371" s="17" t="s">
        <v>615</v>
      </c>
      <c r="BA371" s="11" t="s">
        <v>140</v>
      </c>
      <c r="BC371" s="40">
        <f t="shared" si="247"/>
        <v>0</v>
      </c>
      <c r="BD371" s="40">
        <f t="shared" si="248"/>
        <v>0</v>
      </c>
      <c r="BE371" s="40">
        <v>0</v>
      </c>
      <c r="BF371" s="40">
        <f>371</f>
        <v>371</v>
      </c>
      <c r="BH371" s="40">
        <f t="shared" si="249"/>
        <v>0</v>
      </c>
      <c r="BI371" s="40">
        <f t="shared" si="250"/>
        <v>0</v>
      </c>
      <c r="BJ371" s="40">
        <f t="shared" si="251"/>
        <v>0</v>
      </c>
      <c r="BK371" s="40"/>
      <c r="BL371" s="40">
        <v>11</v>
      </c>
    </row>
    <row r="372" spans="1:47" ht="15" customHeight="1">
      <c r="A372" s="24" t="s">
        <v>878</v>
      </c>
      <c r="B372" s="66" t="s">
        <v>938</v>
      </c>
      <c r="C372" s="92" t="s">
        <v>314</v>
      </c>
      <c r="D372" s="92"/>
      <c r="E372" s="92"/>
      <c r="F372" s="92"/>
      <c r="G372" s="3" t="s">
        <v>1172</v>
      </c>
      <c r="H372" s="3" t="s">
        <v>1172</v>
      </c>
      <c r="I372" s="3" t="s">
        <v>1172</v>
      </c>
      <c r="J372" s="63">
        <f>SUM(J373:J373)</f>
        <v>0</v>
      </c>
      <c r="K372" s="63">
        <f>SUM(K373:K373)</f>
        <v>0</v>
      </c>
      <c r="L372" s="63">
        <f>SUM(L373:L373)</f>
        <v>0</v>
      </c>
      <c r="M372" s="4" t="s">
        <v>878</v>
      </c>
      <c r="AI372" s="11" t="s">
        <v>1271</v>
      </c>
      <c r="AS372" s="63">
        <f>SUM(AJ373:AJ373)</f>
        <v>0</v>
      </c>
      <c r="AT372" s="63">
        <f>SUM(AK373:AK373)</f>
        <v>0</v>
      </c>
      <c r="AU372" s="63">
        <f>SUM(AL373:AL373)</f>
        <v>0</v>
      </c>
    </row>
    <row r="373" spans="1:64" ht="15" customHeight="1">
      <c r="A373" s="19" t="s">
        <v>831</v>
      </c>
      <c r="B373" s="59" t="s">
        <v>511</v>
      </c>
      <c r="C373" s="76" t="s">
        <v>1239</v>
      </c>
      <c r="D373" s="76"/>
      <c r="E373" s="76"/>
      <c r="F373" s="76"/>
      <c r="G373" s="59" t="s">
        <v>1220</v>
      </c>
      <c r="H373" s="40">
        <v>9</v>
      </c>
      <c r="I373" s="40">
        <v>0</v>
      </c>
      <c r="J373" s="40">
        <f>H373*AO373</f>
        <v>0</v>
      </c>
      <c r="K373" s="40">
        <f>H373*AP373</f>
        <v>0</v>
      </c>
      <c r="L373" s="40">
        <f>H373*I373</f>
        <v>0</v>
      </c>
      <c r="M373" s="69" t="s">
        <v>868</v>
      </c>
      <c r="Z373" s="40">
        <f>IF(AQ373="5",BJ373,0)</f>
        <v>0</v>
      </c>
      <c r="AB373" s="40">
        <f>IF(AQ373="1",BH373,0)</f>
        <v>0</v>
      </c>
      <c r="AC373" s="40">
        <f>IF(AQ373="1",BI373,0)</f>
        <v>0</v>
      </c>
      <c r="AD373" s="40">
        <f>IF(AQ373="7",BH373,0)</f>
        <v>0</v>
      </c>
      <c r="AE373" s="40">
        <f>IF(AQ373="7",BI373,0)</f>
        <v>0</v>
      </c>
      <c r="AF373" s="40">
        <f>IF(AQ373="2",BH373,0)</f>
        <v>0</v>
      </c>
      <c r="AG373" s="40">
        <f>IF(AQ373="2",BI373,0)</f>
        <v>0</v>
      </c>
      <c r="AH373" s="40">
        <f>IF(AQ373="0",BJ373,0)</f>
        <v>0</v>
      </c>
      <c r="AI373" s="11" t="s">
        <v>1271</v>
      </c>
      <c r="AJ373" s="40">
        <f>IF(AN373=0,L373,0)</f>
        <v>0</v>
      </c>
      <c r="AK373" s="40">
        <f>IF(AN373=15,L373,0)</f>
        <v>0</v>
      </c>
      <c r="AL373" s="40">
        <f>IF(AN373=21,L373,0)</f>
        <v>0</v>
      </c>
      <c r="AN373" s="40">
        <v>21</v>
      </c>
      <c r="AO373" s="40">
        <f>I373*0</f>
        <v>0</v>
      </c>
      <c r="AP373" s="40">
        <f>I373*(1-0)</f>
        <v>0</v>
      </c>
      <c r="AQ373" s="17" t="s">
        <v>1260</v>
      </c>
      <c r="AV373" s="40">
        <f>AW373+AX373</f>
        <v>0</v>
      </c>
      <c r="AW373" s="40">
        <f>H373*AO373</f>
        <v>0</v>
      </c>
      <c r="AX373" s="40">
        <f>H373*AP373</f>
        <v>0</v>
      </c>
      <c r="AY373" s="17" t="s">
        <v>630</v>
      </c>
      <c r="AZ373" s="17" t="s">
        <v>615</v>
      </c>
      <c r="BA373" s="11" t="s">
        <v>140</v>
      </c>
      <c r="BC373" s="40">
        <f>AW373+AX373</f>
        <v>0</v>
      </c>
      <c r="BD373" s="40">
        <f>I373/(100-BE373)*100</f>
        <v>0</v>
      </c>
      <c r="BE373" s="40">
        <v>0</v>
      </c>
      <c r="BF373" s="40">
        <f>373</f>
        <v>373</v>
      </c>
      <c r="BH373" s="40">
        <f>H373*AO373</f>
        <v>0</v>
      </c>
      <c r="BI373" s="40">
        <f>H373*AP373</f>
        <v>0</v>
      </c>
      <c r="BJ373" s="40">
        <f>H373*I373</f>
        <v>0</v>
      </c>
      <c r="BK373" s="40"/>
      <c r="BL373" s="40">
        <v>12</v>
      </c>
    </row>
    <row r="374" spans="1:47" ht="15" customHeight="1">
      <c r="A374" s="24" t="s">
        <v>878</v>
      </c>
      <c r="B374" s="66" t="s">
        <v>368</v>
      </c>
      <c r="C374" s="92" t="s">
        <v>13</v>
      </c>
      <c r="D374" s="92"/>
      <c r="E374" s="92"/>
      <c r="F374" s="92"/>
      <c r="G374" s="3" t="s">
        <v>1172</v>
      </c>
      <c r="H374" s="3" t="s">
        <v>1172</v>
      </c>
      <c r="I374" s="3" t="s">
        <v>1172</v>
      </c>
      <c r="J374" s="63">
        <f>SUM(J375:J376)</f>
        <v>0</v>
      </c>
      <c r="K374" s="63">
        <f>SUM(K375:K376)</f>
        <v>0</v>
      </c>
      <c r="L374" s="63">
        <f>SUM(L375:L376)</f>
        <v>0</v>
      </c>
      <c r="M374" s="4" t="s">
        <v>878</v>
      </c>
      <c r="AI374" s="11" t="s">
        <v>1271</v>
      </c>
      <c r="AS374" s="63">
        <f>SUM(AJ375:AJ376)</f>
        <v>0</v>
      </c>
      <c r="AT374" s="63">
        <f>SUM(AK375:AK376)</f>
        <v>0</v>
      </c>
      <c r="AU374" s="63">
        <f>SUM(AL375:AL376)</f>
        <v>0</v>
      </c>
    </row>
    <row r="375" spans="1:64" ht="15" customHeight="1">
      <c r="A375" s="19" t="s">
        <v>1154</v>
      </c>
      <c r="B375" s="59" t="s">
        <v>1126</v>
      </c>
      <c r="C375" s="76" t="s">
        <v>180</v>
      </c>
      <c r="D375" s="76"/>
      <c r="E375" s="76"/>
      <c r="F375" s="76"/>
      <c r="G375" s="59" t="s">
        <v>1220</v>
      </c>
      <c r="H375" s="40">
        <v>572.04</v>
      </c>
      <c r="I375" s="40">
        <v>0</v>
      </c>
      <c r="J375" s="40">
        <f>H375*AO375</f>
        <v>0</v>
      </c>
      <c r="K375" s="40">
        <f>H375*AP375</f>
        <v>0</v>
      </c>
      <c r="L375" s="40">
        <f>H375*I375</f>
        <v>0</v>
      </c>
      <c r="M375" s="69" t="s">
        <v>868</v>
      </c>
      <c r="Z375" s="40">
        <f>IF(AQ375="5",BJ375,0)</f>
        <v>0</v>
      </c>
      <c r="AB375" s="40">
        <f>IF(AQ375="1",BH375,0)</f>
        <v>0</v>
      </c>
      <c r="AC375" s="40">
        <f>IF(AQ375="1",BI375,0)</f>
        <v>0</v>
      </c>
      <c r="AD375" s="40">
        <f>IF(AQ375="7",BH375,0)</f>
        <v>0</v>
      </c>
      <c r="AE375" s="40">
        <f>IF(AQ375="7",BI375,0)</f>
        <v>0</v>
      </c>
      <c r="AF375" s="40">
        <f>IF(AQ375="2",BH375,0)</f>
        <v>0</v>
      </c>
      <c r="AG375" s="40">
        <f>IF(AQ375="2",BI375,0)</f>
        <v>0</v>
      </c>
      <c r="AH375" s="40">
        <f>IF(AQ375="0",BJ375,0)</f>
        <v>0</v>
      </c>
      <c r="AI375" s="11" t="s">
        <v>1271</v>
      </c>
      <c r="AJ375" s="40">
        <f>IF(AN375=0,L375,0)</f>
        <v>0</v>
      </c>
      <c r="AK375" s="40">
        <f>IF(AN375=15,L375,0)</f>
        <v>0</v>
      </c>
      <c r="AL375" s="40">
        <f>IF(AN375=21,L375,0)</f>
        <v>0</v>
      </c>
      <c r="AN375" s="40">
        <v>21</v>
      </c>
      <c r="AO375" s="40">
        <f>I375*0</f>
        <v>0</v>
      </c>
      <c r="AP375" s="40">
        <f>I375*(1-0)</f>
        <v>0</v>
      </c>
      <c r="AQ375" s="17" t="s">
        <v>1260</v>
      </c>
      <c r="AV375" s="40">
        <f>AW375+AX375</f>
        <v>0</v>
      </c>
      <c r="AW375" s="40">
        <f>H375*AO375</f>
        <v>0</v>
      </c>
      <c r="AX375" s="40">
        <f>H375*AP375</f>
        <v>0</v>
      </c>
      <c r="AY375" s="17" t="s">
        <v>1141</v>
      </c>
      <c r="AZ375" s="17" t="s">
        <v>615</v>
      </c>
      <c r="BA375" s="11" t="s">
        <v>140</v>
      </c>
      <c r="BC375" s="40">
        <f>AW375+AX375</f>
        <v>0</v>
      </c>
      <c r="BD375" s="40">
        <f>I375/(100-BE375)*100</f>
        <v>0</v>
      </c>
      <c r="BE375" s="40">
        <v>0</v>
      </c>
      <c r="BF375" s="40">
        <f>375</f>
        <v>375</v>
      </c>
      <c r="BH375" s="40">
        <f>H375*AO375</f>
        <v>0</v>
      </c>
      <c r="BI375" s="40">
        <f>H375*AP375</f>
        <v>0</v>
      </c>
      <c r="BJ375" s="40">
        <f>H375*I375</f>
        <v>0</v>
      </c>
      <c r="BK375" s="40"/>
      <c r="BL375" s="40">
        <v>13</v>
      </c>
    </row>
    <row r="376" spans="1:64" ht="15" customHeight="1">
      <c r="A376" s="19" t="s">
        <v>1078</v>
      </c>
      <c r="B376" s="59" t="s">
        <v>442</v>
      </c>
      <c r="C376" s="76" t="s">
        <v>1291</v>
      </c>
      <c r="D376" s="76"/>
      <c r="E376" s="76"/>
      <c r="F376" s="76"/>
      <c r="G376" s="59" t="s">
        <v>1220</v>
      </c>
      <c r="H376" s="40">
        <v>122.175</v>
      </c>
      <c r="I376" s="40">
        <v>0</v>
      </c>
      <c r="J376" s="40">
        <f>H376*AO376</f>
        <v>0</v>
      </c>
      <c r="K376" s="40">
        <f>H376*AP376</f>
        <v>0</v>
      </c>
      <c r="L376" s="40">
        <f>H376*I376</f>
        <v>0</v>
      </c>
      <c r="M376" s="69" t="s">
        <v>868</v>
      </c>
      <c r="Z376" s="40">
        <f>IF(AQ376="5",BJ376,0)</f>
        <v>0</v>
      </c>
      <c r="AB376" s="40">
        <f>IF(AQ376="1",BH376,0)</f>
        <v>0</v>
      </c>
      <c r="AC376" s="40">
        <f>IF(AQ376="1",BI376,0)</f>
        <v>0</v>
      </c>
      <c r="AD376" s="40">
        <f>IF(AQ376="7",BH376,0)</f>
        <v>0</v>
      </c>
      <c r="AE376" s="40">
        <f>IF(AQ376="7",BI376,0)</f>
        <v>0</v>
      </c>
      <c r="AF376" s="40">
        <f>IF(AQ376="2",BH376,0)</f>
        <v>0</v>
      </c>
      <c r="AG376" s="40">
        <f>IF(AQ376="2",BI376,0)</f>
        <v>0</v>
      </c>
      <c r="AH376" s="40">
        <f>IF(AQ376="0",BJ376,0)</f>
        <v>0</v>
      </c>
      <c r="AI376" s="11" t="s">
        <v>1271</v>
      </c>
      <c r="AJ376" s="40">
        <f>IF(AN376=0,L376,0)</f>
        <v>0</v>
      </c>
      <c r="AK376" s="40">
        <f>IF(AN376=15,L376,0)</f>
        <v>0</v>
      </c>
      <c r="AL376" s="40">
        <f>IF(AN376=21,L376,0)</f>
        <v>0</v>
      </c>
      <c r="AN376" s="40">
        <v>21</v>
      </c>
      <c r="AO376" s="40">
        <f>I376*0</f>
        <v>0</v>
      </c>
      <c r="AP376" s="40">
        <f>I376*(1-0)</f>
        <v>0</v>
      </c>
      <c r="AQ376" s="17" t="s">
        <v>1260</v>
      </c>
      <c r="AV376" s="40">
        <f>AW376+AX376</f>
        <v>0</v>
      </c>
      <c r="AW376" s="40">
        <f>H376*AO376</f>
        <v>0</v>
      </c>
      <c r="AX376" s="40">
        <f>H376*AP376</f>
        <v>0</v>
      </c>
      <c r="AY376" s="17" t="s">
        <v>1141</v>
      </c>
      <c r="AZ376" s="17" t="s">
        <v>615</v>
      </c>
      <c r="BA376" s="11" t="s">
        <v>140</v>
      </c>
      <c r="BC376" s="40">
        <f>AW376+AX376</f>
        <v>0</v>
      </c>
      <c r="BD376" s="40">
        <f>I376/(100-BE376)*100</f>
        <v>0</v>
      </c>
      <c r="BE376" s="40">
        <v>0</v>
      </c>
      <c r="BF376" s="40">
        <f>376</f>
        <v>376</v>
      </c>
      <c r="BH376" s="40">
        <f>H376*AO376</f>
        <v>0</v>
      </c>
      <c r="BI376" s="40">
        <f>H376*AP376</f>
        <v>0</v>
      </c>
      <c r="BJ376" s="40">
        <f>H376*I376</f>
        <v>0</v>
      </c>
      <c r="BK376" s="40"/>
      <c r="BL376" s="40">
        <v>13</v>
      </c>
    </row>
    <row r="377" spans="1:47" ht="15" customHeight="1">
      <c r="A377" s="24" t="s">
        <v>878</v>
      </c>
      <c r="B377" s="66" t="s">
        <v>751</v>
      </c>
      <c r="C377" s="92" t="s">
        <v>729</v>
      </c>
      <c r="D377" s="92"/>
      <c r="E377" s="92"/>
      <c r="F377" s="92"/>
      <c r="G377" s="3" t="s">
        <v>1172</v>
      </c>
      <c r="H377" s="3" t="s">
        <v>1172</v>
      </c>
      <c r="I377" s="3" t="s">
        <v>1172</v>
      </c>
      <c r="J377" s="63">
        <f>SUM(J378:J379)</f>
        <v>0</v>
      </c>
      <c r="K377" s="63">
        <f>SUM(K378:K379)</f>
        <v>0</v>
      </c>
      <c r="L377" s="63">
        <f>SUM(L378:L379)</f>
        <v>0</v>
      </c>
      <c r="M377" s="4" t="s">
        <v>878</v>
      </c>
      <c r="AI377" s="11" t="s">
        <v>1271</v>
      </c>
      <c r="AS377" s="63">
        <f>SUM(AJ378:AJ379)</f>
        <v>0</v>
      </c>
      <c r="AT377" s="63">
        <f>SUM(AK378:AK379)</f>
        <v>0</v>
      </c>
      <c r="AU377" s="63">
        <f>SUM(AL378:AL379)</f>
        <v>0</v>
      </c>
    </row>
    <row r="378" spans="1:64" ht="15" customHeight="1">
      <c r="A378" s="19" t="s">
        <v>346</v>
      </c>
      <c r="B378" s="59" t="s">
        <v>1419</v>
      </c>
      <c r="C378" s="76" t="s">
        <v>343</v>
      </c>
      <c r="D378" s="76"/>
      <c r="E378" s="76"/>
      <c r="F378" s="76"/>
      <c r="G378" s="59" t="s">
        <v>1041</v>
      </c>
      <c r="H378" s="40">
        <v>4</v>
      </c>
      <c r="I378" s="40">
        <v>0</v>
      </c>
      <c r="J378" s="40">
        <f>H378*AO378</f>
        <v>0</v>
      </c>
      <c r="K378" s="40">
        <f>H378*AP378</f>
        <v>0</v>
      </c>
      <c r="L378" s="40">
        <f>H378*I378</f>
        <v>0</v>
      </c>
      <c r="M378" s="69" t="s">
        <v>868</v>
      </c>
      <c r="Z378" s="40">
        <f>IF(AQ378="5",BJ378,0)</f>
        <v>0</v>
      </c>
      <c r="AB378" s="40">
        <f>IF(AQ378="1",BH378,0)</f>
        <v>0</v>
      </c>
      <c r="AC378" s="40">
        <f>IF(AQ378="1",BI378,0)</f>
        <v>0</v>
      </c>
      <c r="AD378" s="40">
        <f>IF(AQ378="7",BH378,0)</f>
        <v>0</v>
      </c>
      <c r="AE378" s="40">
        <f>IF(AQ378="7",BI378,0)</f>
        <v>0</v>
      </c>
      <c r="AF378" s="40">
        <f>IF(AQ378="2",BH378,0)</f>
        <v>0</v>
      </c>
      <c r="AG378" s="40">
        <f>IF(AQ378="2",BI378,0)</f>
        <v>0</v>
      </c>
      <c r="AH378" s="40">
        <f>IF(AQ378="0",BJ378,0)</f>
        <v>0</v>
      </c>
      <c r="AI378" s="11" t="s">
        <v>1271</v>
      </c>
      <c r="AJ378" s="40">
        <f>IF(AN378=0,L378,0)</f>
        <v>0</v>
      </c>
      <c r="AK378" s="40">
        <f>IF(AN378=15,L378,0)</f>
        <v>0</v>
      </c>
      <c r="AL378" s="40">
        <f>IF(AN378=21,L378,0)</f>
        <v>0</v>
      </c>
      <c r="AN378" s="40">
        <v>21</v>
      </c>
      <c r="AO378" s="40">
        <f>I378*0.0164100406775069</f>
        <v>0</v>
      </c>
      <c r="AP378" s="40">
        <f>I378*(1-0.0164100406775069)</f>
        <v>0</v>
      </c>
      <c r="AQ378" s="17" t="s">
        <v>1260</v>
      </c>
      <c r="AV378" s="40">
        <f>AW378+AX378</f>
        <v>0</v>
      </c>
      <c r="AW378" s="40">
        <f>H378*AO378</f>
        <v>0</v>
      </c>
      <c r="AX378" s="40">
        <f>H378*AP378</f>
        <v>0</v>
      </c>
      <c r="AY378" s="17" t="s">
        <v>1324</v>
      </c>
      <c r="AZ378" s="17" t="s">
        <v>615</v>
      </c>
      <c r="BA378" s="11" t="s">
        <v>140</v>
      </c>
      <c r="BC378" s="40">
        <f>AW378+AX378</f>
        <v>0</v>
      </c>
      <c r="BD378" s="40">
        <f>I378/(100-BE378)*100</f>
        <v>0</v>
      </c>
      <c r="BE378" s="40">
        <v>0</v>
      </c>
      <c r="BF378" s="40">
        <f>378</f>
        <v>378</v>
      </c>
      <c r="BH378" s="40">
        <f>H378*AO378</f>
        <v>0</v>
      </c>
      <c r="BI378" s="40">
        <f>H378*AP378</f>
        <v>0</v>
      </c>
      <c r="BJ378" s="40">
        <f>H378*I378</f>
        <v>0</v>
      </c>
      <c r="BK378" s="40"/>
      <c r="BL378" s="40">
        <v>14</v>
      </c>
    </row>
    <row r="379" spans="1:64" ht="15" customHeight="1">
      <c r="A379" s="19" t="s">
        <v>562</v>
      </c>
      <c r="B379" s="59" t="s">
        <v>46</v>
      </c>
      <c r="C379" s="76" t="s">
        <v>1429</v>
      </c>
      <c r="D379" s="76"/>
      <c r="E379" s="76"/>
      <c r="F379" s="76"/>
      <c r="G379" s="59" t="s">
        <v>1041</v>
      </c>
      <c r="H379" s="40">
        <v>4</v>
      </c>
      <c r="I379" s="40">
        <v>0</v>
      </c>
      <c r="J379" s="40">
        <f>H379*AO379</f>
        <v>0</v>
      </c>
      <c r="K379" s="40">
        <f>H379*AP379</f>
        <v>0</v>
      </c>
      <c r="L379" s="40">
        <f>H379*I379</f>
        <v>0</v>
      </c>
      <c r="M379" s="69" t="s">
        <v>868</v>
      </c>
      <c r="Z379" s="40">
        <f>IF(AQ379="5",BJ379,0)</f>
        <v>0</v>
      </c>
      <c r="AB379" s="40">
        <f>IF(AQ379="1",BH379,0)</f>
        <v>0</v>
      </c>
      <c r="AC379" s="40">
        <f>IF(AQ379="1",BI379,0)</f>
        <v>0</v>
      </c>
      <c r="AD379" s="40">
        <f>IF(AQ379="7",BH379,0)</f>
        <v>0</v>
      </c>
      <c r="AE379" s="40">
        <f>IF(AQ379="7",BI379,0)</f>
        <v>0</v>
      </c>
      <c r="AF379" s="40">
        <f>IF(AQ379="2",BH379,0)</f>
        <v>0</v>
      </c>
      <c r="AG379" s="40">
        <f>IF(AQ379="2",BI379,0)</f>
        <v>0</v>
      </c>
      <c r="AH379" s="40">
        <f>IF(AQ379="0",BJ379,0)</f>
        <v>0</v>
      </c>
      <c r="AI379" s="11" t="s">
        <v>1271</v>
      </c>
      <c r="AJ379" s="40">
        <f>IF(AN379=0,L379,0)</f>
        <v>0</v>
      </c>
      <c r="AK379" s="40">
        <f>IF(AN379=15,L379,0)</f>
        <v>0</v>
      </c>
      <c r="AL379" s="40">
        <f>IF(AN379=21,L379,0)</f>
        <v>0</v>
      </c>
      <c r="AN379" s="40">
        <v>21</v>
      </c>
      <c r="AO379" s="40">
        <f>I379*1</f>
        <v>0</v>
      </c>
      <c r="AP379" s="40">
        <f>I379*(1-1)</f>
        <v>0</v>
      </c>
      <c r="AQ379" s="17" t="s">
        <v>1260</v>
      </c>
      <c r="AV379" s="40">
        <f>AW379+AX379</f>
        <v>0</v>
      </c>
      <c r="AW379" s="40">
        <f>H379*AO379</f>
        <v>0</v>
      </c>
      <c r="AX379" s="40">
        <f>H379*AP379</f>
        <v>0</v>
      </c>
      <c r="AY379" s="17" t="s">
        <v>1324</v>
      </c>
      <c r="AZ379" s="17" t="s">
        <v>615</v>
      </c>
      <c r="BA379" s="11" t="s">
        <v>140</v>
      </c>
      <c r="BC379" s="40">
        <f>AW379+AX379</f>
        <v>0</v>
      </c>
      <c r="BD379" s="40">
        <f>I379/(100-BE379)*100</f>
        <v>0</v>
      </c>
      <c r="BE379" s="40">
        <v>0</v>
      </c>
      <c r="BF379" s="40">
        <f>379</f>
        <v>379</v>
      </c>
      <c r="BH379" s="40">
        <f>H379*AO379</f>
        <v>0</v>
      </c>
      <c r="BI379" s="40">
        <f>H379*AP379</f>
        <v>0</v>
      </c>
      <c r="BJ379" s="40">
        <f>H379*I379</f>
        <v>0</v>
      </c>
      <c r="BK379" s="40"/>
      <c r="BL379" s="40">
        <v>14</v>
      </c>
    </row>
    <row r="380" spans="1:47" ht="15" customHeight="1">
      <c r="A380" s="24" t="s">
        <v>878</v>
      </c>
      <c r="B380" s="66" t="s">
        <v>484</v>
      </c>
      <c r="C380" s="92" t="s">
        <v>1090</v>
      </c>
      <c r="D380" s="92"/>
      <c r="E380" s="92"/>
      <c r="F380" s="92"/>
      <c r="G380" s="3" t="s">
        <v>1172</v>
      </c>
      <c r="H380" s="3" t="s">
        <v>1172</v>
      </c>
      <c r="I380" s="3" t="s">
        <v>1172</v>
      </c>
      <c r="J380" s="63">
        <f>SUM(J381:J382)</f>
        <v>0</v>
      </c>
      <c r="K380" s="63">
        <f>SUM(K381:K382)</f>
        <v>0</v>
      </c>
      <c r="L380" s="63">
        <f>SUM(L381:L382)</f>
        <v>0</v>
      </c>
      <c r="M380" s="4" t="s">
        <v>878</v>
      </c>
      <c r="AI380" s="11" t="s">
        <v>1271</v>
      </c>
      <c r="AS380" s="63">
        <f>SUM(AJ381:AJ382)</f>
        <v>0</v>
      </c>
      <c r="AT380" s="63">
        <f>SUM(AK381:AK382)</f>
        <v>0</v>
      </c>
      <c r="AU380" s="63">
        <f>SUM(AL381:AL382)</f>
        <v>0</v>
      </c>
    </row>
    <row r="381" spans="1:64" ht="15" customHeight="1">
      <c r="A381" s="19" t="s">
        <v>31</v>
      </c>
      <c r="B381" s="59" t="s">
        <v>1390</v>
      </c>
      <c r="C381" s="76" t="s">
        <v>281</v>
      </c>
      <c r="D381" s="76"/>
      <c r="E381" s="76"/>
      <c r="F381" s="76"/>
      <c r="G381" s="59" t="s">
        <v>1243</v>
      </c>
      <c r="H381" s="40">
        <v>1271.2</v>
      </c>
      <c r="I381" s="40">
        <v>0</v>
      </c>
      <c r="J381" s="40">
        <f>H381*AO381</f>
        <v>0</v>
      </c>
      <c r="K381" s="40">
        <f>H381*AP381</f>
        <v>0</v>
      </c>
      <c r="L381" s="40">
        <f>H381*I381</f>
        <v>0</v>
      </c>
      <c r="M381" s="69" t="s">
        <v>868</v>
      </c>
      <c r="Z381" s="40">
        <f>IF(AQ381="5",BJ381,0)</f>
        <v>0</v>
      </c>
      <c r="AB381" s="40">
        <f>IF(AQ381="1",BH381,0)</f>
        <v>0</v>
      </c>
      <c r="AC381" s="40">
        <f>IF(AQ381="1",BI381,0)</f>
        <v>0</v>
      </c>
      <c r="AD381" s="40">
        <f>IF(AQ381="7",BH381,0)</f>
        <v>0</v>
      </c>
      <c r="AE381" s="40">
        <f>IF(AQ381="7",BI381,0)</f>
        <v>0</v>
      </c>
      <c r="AF381" s="40">
        <f>IF(AQ381="2",BH381,0)</f>
        <v>0</v>
      </c>
      <c r="AG381" s="40">
        <f>IF(AQ381="2",BI381,0)</f>
        <v>0</v>
      </c>
      <c r="AH381" s="40">
        <f>IF(AQ381="0",BJ381,0)</f>
        <v>0</v>
      </c>
      <c r="AI381" s="11" t="s">
        <v>1271</v>
      </c>
      <c r="AJ381" s="40">
        <f>IF(AN381=0,L381,0)</f>
        <v>0</v>
      </c>
      <c r="AK381" s="40">
        <f>IF(AN381=15,L381,0)</f>
        <v>0</v>
      </c>
      <c r="AL381" s="40">
        <f>IF(AN381=21,L381,0)</f>
        <v>0</v>
      </c>
      <c r="AN381" s="40">
        <v>21</v>
      </c>
      <c r="AO381" s="40">
        <f>I381*0.0932214765100671</f>
        <v>0</v>
      </c>
      <c r="AP381" s="40">
        <f>I381*(1-0.0932214765100671)</f>
        <v>0</v>
      </c>
      <c r="AQ381" s="17" t="s">
        <v>1260</v>
      </c>
      <c r="AV381" s="40">
        <f>AW381+AX381</f>
        <v>0</v>
      </c>
      <c r="AW381" s="40">
        <f>H381*AO381</f>
        <v>0</v>
      </c>
      <c r="AX381" s="40">
        <f>H381*AP381</f>
        <v>0</v>
      </c>
      <c r="AY381" s="17" t="s">
        <v>894</v>
      </c>
      <c r="AZ381" s="17" t="s">
        <v>615</v>
      </c>
      <c r="BA381" s="11" t="s">
        <v>140</v>
      </c>
      <c r="BC381" s="40">
        <f>AW381+AX381</f>
        <v>0</v>
      </c>
      <c r="BD381" s="40">
        <f>I381/(100-BE381)*100</f>
        <v>0</v>
      </c>
      <c r="BE381" s="40">
        <v>0</v>
      </c>
      <c r="BF381" s="40">
        <f>381</f>
        <v>381</v>
      </c>
      <c r="BH381" s="40">
        <f>H381*AO381</f>
        <v>0</v>
      </c>
      <c r="BI381" s="40">
        <f>H381*AP381</f>
        <v>0</v>
      </c>
      <c r="BJ381" s="40">
        <f>H381*I381</f>
        <v>0</v>
      </c>
      <c r="BK381" s="40"/>
      <c r="BL381" s="40">
        <v>15</v>
      </c>
    </row>
    <row r="382" spans="1:64" ht="15" customHeight="1">
      <c r="A382" s="19" t="s">
        <v>742</v>
      </c>
      <c r="B382" s="59" t="s">
        <v>860</v>
      </c>
      <c r="C382" s="76" t="s">
        <v>1222</v>
      </c>
      <c r="D382" s="76"/>
      <c r="E382" s="76"/>
      <c r="F382" s="76"/>
      <c r="G382" s="59" t="s">
        <v>1243</v>
      </c>
      <c r="H382" s="40">
        <v>1271.2</v>
      </c>
      <c r="I382" s="40">
        <v>0</v>
      </c>
      <c r="J382" s="40">
        <f>H382*AO382</f>
        <v>0</v>
      </c>
      <c r="K382" s="40">
        <f>H382*AP382</f>
        <v>0</v>
      </c>
      <c r="L382" s="40">
        <f>H382*I382</f>
        <v>0</v>
      </c>
      <c r="M382" s="69" t="s">
        <v>868</v>
      </c>
      <c r="Z382" s="40">
        <f>IF(AQ382="5",BJ382,0)</f>
        <v>0</v>
      </c>
      <c r="AB382" s="40">
        <f>IF(AQ382="1",BH382,0)</f>
        <v>0</v>
      </c>
      <c r="AC382" s="40">
        <f>IF(AQ382="1",BI382,0)</f>
        <v>0</v>
      </c>
      <c r="AD382" s="40">
        <f>IF(AQ382="7",BH382,0)</f>
        <v>0</v>
      </c>
      <c r="AE382" s="40">
        <f>IF(AQ382="7",BI382,0)</f>
        <v>0</v>
      </c>
      <c r="AF382" s="40">
        <f>IF(AQ382="2",BH382,0)</f>
        <v>0</v>
      </c>
      <c r="AG382" s="40">
        <f>IF(AQ382="2",BI382,0)</f>
        <v>0</v>
      </c>
      <c r="AH382" s="40">
        <f>IF(AQ382="0",BJ382,0)</f>
        <v>0</v>
      </c>
      <c r="AI382" s="11" t="s">
        <v>1271</v>
      </c>
      <c r="AJ382" s="40">
        <f>IF(AN382=0,L382,0)</f>
        <v>0</v>
      </c>
      <c r="AK382" s="40">
        <f>IF(AN382=15,L382,0)</f>
        <v>0</v>
      </c>
      <c r="AL382" s="40">
        <f>IF(AN382=21,L382,0)</f>
        <v>0</v>
      </c>
      <c r="AN382" s="40">
        <v>21</v>
      </c>
      <c r="AO382" s="40">
        <f>I382*0</f>
        <v>0</v>
      </c>
      <c r="AP382" s="40">
        <f>I382*(1-0)</f>
        <v>0</v>
      </c>
      <c r="AQ382" s="17" t="s">
        <v>1260</v>
      </c>
      <c r="AV382" s="40">
        <f>AW382+AX382</f>
        <v>0</v>
      </c>
      <c r="AW382" s="40">
        <f>H382*AO382</f>
        <v>0</v>
      </c>
      <c r="AX382" s="40">
        <f>H382*AP382</f>
        <v>0</v>
      </c>
      <c r="AY382" s="17" t="s">
        <v>894</v>
      </c>
      <c r="AZ382" s="17" t="s">
        <v>615</v>
      </c>
      <c r="BA382" s="11" t="s">
        <v>140</v>
      </c>
      <c r="BC382" s="40">
        <f>AW382+AX382</f>
        <v>0</v>
      </c>
      <c r="BD382" s="40">
        <f>I382/(100-BE382)*100</f>
        <v>0</v>
      </c>
      <c r="BE382" s="40">
        <v>0</v>
      </c>
      <c r="BF382" s="40">
        <f>382</f>
        <v>382</v>
      </c>
      <c r="BH382" s="40">
        <f>H382*AO382</f>
        <v>0</v>
      </c>
      <c r="BI382" s="40">
        <f>H382*AP382</f>
        <v>0</v>
      </c>
      <c r="BJ382" s="40">
        <f>H382*I382</f>
        <v>0</v>
      </c>
      <c r="BK382" s="40"/>
      <c r="BL382" s="40">
        <v>15</v>
      </c>
    </row>
    <row r="383" spans="1:47" ht="15" customHeight="1">
      <c r="A383" s="24" t="s">
        <v>878</v>
      </c>
      <c r="B383" s="66" t="s">
        <v>123</v>
      </c>
      <c r="C383" s="92" t="s">
        <v>1052</v>
      </c>
      <c r="D383" s="92"/>
      <c r="E383" s="92"/>
      <c r="F383" s="92"/>
      <c r="G383" s="3" t="s">
        <v>1172</v>
      </c>
      <c r="H383" s="3" t="s">
        <v>1172</v>
      </c>
      <c r="I383" s="3" t="s">
        <v>1172</v>
      </c>
      <c r="J383" s="63">
        <f>SUM(J384:J385)</f>
        <v>0</v>
      </c>
      <c r="K383" s="63">
        <f>SUM(K384:K385)</f>
        <v>0</v>
      </c>
      <c r="L383" s="63">
        <f>SUM(L384:L385)</f>
        <v>0</v>
      </c>
      <c r="M383" s="4" t="s">
        <v>878</v>
      </c>
      <c r="AI383" s="11" t="s">
        <v>1271</v>
      </c>
      <c r="AS383" s="63">
        <f>SUM(AJ384:AJ385)</f>
        <v>0</v>
      </c>
      <c r="AT383" s="63">
        <f>SUM(AK384:AK385)</f>
        <v>0</v>
      </c>
      <c r="AU383" s="63">
        <f>SUM(AL384:AL385)</f>
        <v>0</v>
      </c>
    </row>
    <row r="384" spans="1:64" ht="15" customHeight="1">
      <c r="A384" s="19" t="s">
        <v>1153</v>
      </c>
      <c r="B384" s="59" t="s">
        <v>20</v>
      </c>
      <c r="C384" s="76" t="s">
        <v>1058</v>
      </c>
      <c r="D384" s="76"/>
      <c r="E384" s="76"/>
      <c r="F384" s="76"/>
      <c r="G384" s="59" t="s">
        <v>1220</v>
      </c>
      <c r="H384" s="40">
        <v>39.214</v>
      </c>
      <c r="I384" s="40">
        <v>0</v>
      </c>
      <c r="J384" s="40">
        <f>H384*AO384</f>
        <v>0</v>
      </c>
      <c r="K384" s="40">
        <f>H384*AP384</f>
        <v>0</v>
      </c>
      <c r="L384" s="40">
        <f>H384*I384</f>
        <v>0</v>
      </c>
      <c r="M384" s="69" t="s">
        <v>868</v>
      </c>
      <c r="Z384" s="40">
        <f>IF(AQ384="5",BJ384,0)</f>
        <v>0</v>
      </c>
      <c r="AB384" s="40">
        <f>IF(AQ384="1",BH384,0)</f>
        <v>0</v>
      </c>
      <c r="AC384" s="40">
        <f>IF(AQ384="1",BI384,0)</f>
        <v>0</v>
      </c>
      <c r="AD384" s="40">
        <f>IF(AQ384="7",BH384,0)</f>
        <v>0</v>
      </c>
      <c r="AE384" s="40">
        <f>IF(AQ384="7",BI384,0)</f>
        <v>0</v>
      </c>
      <c r="AF384" s="40">
        <f>IF(AQ384="2",BH384,0)</f>
        <v>0</v>
      </c>
      <c r="AG384" s="40">
        <f>IF(AQ384="2",BI384,0)</f>
        <v>0</v>
      </c>
      <c r="AH384" s="40">
        <f>IF(AQ384="0",BJ384,0)</f>
        <v>0</v>
      </c>
      <c r="AI384" s="11" t="s">
        <v>1271</v>
      </c>
      <c r="AJ384" s="40">
        <f>IF(AN384=0,L384,0)</f>
        <v>0</v>
      </c>
      <c r="AK384" s="40">
        <f>IF(AN384=15,L384,0)</f>
        <v>0</v>
      </c>
      <c r="AL384" s="40">
        <f>IF(AN384=21,L384,0)</f>
        <v>0</v>
      </c>
      <c r="AN384" s="40">
        <v>21</v>
      </c>
      <c r="AO384" s="40">
        <f>I384*0</f>
        <v>0</v>
      </c>
      <c r="AP384" s="40">
        <f>I384*(1-0)</f>
        <v>0</v>
      </c>
      <c r="AQ384" s="17" t="s">
        <v>1260</v>
      </c>
      <c r="AV384" s="40">
        <f>AW384+AX384</f>
        <v>0</v>
      </c>
      <c r="AW384" s="40">
        <f>H384*AO384</f>
        <v>0</v>
      </c>
      <c r="AX384" s="40">
        <f>H384*AP384</f>
        <v>0</v>
      </c>
      <c r="AY384" s="17" t="s">
        <v>1175</v>
      </c>
      <c r="AZ384" s="17" t="s">
        <v>615</v>
      </c>
      <c r="BA384" s="11" t="s">
        <v>140</v>
      </c>
      <c r="BC384" s="40">
        <f>AW384+AX384</f>
        <v>0</v>
      </c>
      <c r="BD384" s="40">
        <f>I384/(100-BE384)*100</f>
        <v>0</v>
      </c>
      <c r="BE384" s="40">
        <v>0</v>
      </c>
      <c r="BF384" s="40">
        <f>384</f>
        <v>384</v>
      </c>
      <c r="BH384" s="40">
        <f>H384*AO384</f>
        <v>0</v>
      </c>
      <c r="BI384" s="40">
        <f>H384*AP384</f>
        <v>0</v>
      </c>
      <c r="BJ384" s="40">
        <f>H384*I384</f>
        <v>0</v>
      </c>
      <c r="BK384" s="40"/>
      <c r="BL384" s="40">
        <v>16</v>
      </c>
    </row>
    <row r="385" spans="1:64" ht="15" customHeight="1">
      <c r="A385" s="19" t="s">
        <v>649</v>
      </c>
      <c r="B385" s="59" t="s">
        <v>572</v>
      </c>
      <c r="C385" s="76" t="s">
        <v>677</v>
      </c>
      <c r="D385" s="76"/>
      <c r="E385" s="76"/>
      <c r="F385" s="76"/>
      <c r="G385" s="59" t="s">
        <v>1220</v>
      </c>
      <c r="H385" s="40">
        <v>392.14</v>
      </c>
      <c r="I385" s="40">
        <v>0</v>
      </c>
      <c r="J385" s="40">
        <f>H385*AO385</f>
        <v>0</v>
      </c>
      <c r="K385" s="40">
        <f>H385*AP385</f>
        <v>0</v>
      </c>
      <c r="L385" s="40">
        <f>H385*I385</f>
        <v>0</v>
      </c>
      <c r="M385" s="69" t="s">
        <v>868</v>
      </c>
      <c r="Z385" s="40">
        <f>IF(AQ385="5",BJ385,0)</f>
        <v>0</v>
      </c>
      <c r="AB385" s="40">
        <f>IF(AQ385="1",BH385,0)</f>
        <v>0</v>
      </c>
      <c r="AC385" s="40">
        <f>IF(AQ385="1",BI385,0)</f>
        <v>0</v>
      </c>
      <c r="AD385" s="40">
        <f>IF(AQ385="7",BH385,0)</f>
        <v>0</v>
      </c>
      <c r="AE385" s="40">
        <f>IF(AQ385="7",BI385,0)</f>
        <v>0</v>
      </c>
      <c r="AF385" s="40">
        <f>IF(AQ385="2",BH385,0)</f>
        <v>0</v>
      </c>
      <c r="AG385" s="40">
        <f>IF(AQ385="2",BI385,0)</f>
        <v>0</v>
      </c>
      <c r="AH385" s="40">
        <f>IF(AQ385="0",BJ385,0)</f>
        <v>0</v>
      </c>
      <c r="AI385" s="11" t="s">
        <v>1271</v>
      </c>
      <c r="AJ385" s="40">
        <f>IF(AN385=0,L385,0)</f>
        <v>0</v>
      </c>
      <c r="AK385" s="40">
        <f>IF(AN385=15,L385,0)</f>
        <v>0</v>
      </c>
      <c r="AL385" s="40">
        <f>IF(AN385=21,L385,0)</f>
        <v>0</v>
      </c>
      <c r="AN385" s="40">
        <v>21</v>
      </c>
      <c r="AO385" s="40">
        <f>I385*0</f>
        <v>0</v>
      </c>
      <c r="AP385" s="40">
        <f>I385*(1-0)</f>
        <v>0</v>
      </c>
      <c r="AQ385" s="17" t="s">
        <v>1260</v>
      </c>
      <c r="AV385" s="40">
        <f>AW385+AX385</f>
        <v>0</v>
      </c>
      <c r="AW385" s="40">
        <f>H385*AO385</f>
        <v>0</v>
      </c>
      <c r="AX385" s="40">
        <f>H385*AP385</f>
        <v>0</v>
      </c>
      <c r="AY385" s="17" t="s">
        <v>1175</v>
      </c>
      <c r="AZ385" s="17" t="s">
        <v>615</v>
      </c>
      <c r="BA385" s="11" t="s">
        <v>140</v>
      </c>
      <c r="BC385" s="40">
        <f>AW385+AX385</f>
        <v>0</v>
      </c>
      <c r="BD385" s="40">
        <f>I385/(100-BE385)*100</f>
        <v>0</v>
      </c>
      <c r="BE385" s="40">
        <v>0</v>
      </c>
      <c r="BF385" s="40">
        <f>385</f>
        <v>385</v>
      </c>
      <c r="BH385" s="40">
        <f>H385*AO385</f>
        <v>0</v>
      </c>
      <c r="BI385" s="40">
        <f>H385*AP385</f>
        <v>0</v>
      </c>
      <c r="BJ385" s="40">
        <f>H385*I385</f>
        <v>0</v>
      </c>
      <c r="BK385" s="40"/>
      <c r="BL385" s="40">
        <v>16</v>
      </c>
    </row>
    <row r="386" spans="1:47" ht="15" customHeight="1">
      <c r="A386" s="24" t="s">
        <v>878</v>
      </c>
      <c r="B386" s="66" t="s">
        <v>885</v>
      </c>
      <c r="C386" s="92" t="s">
        <v>179</v>
      </c>
      <c r="D386" s="92"/>
      <c r="E386" s="92"/>
      <c r="F386" s="92"/>
      <c r="G386" s="3" t="s">
        <v>1172</v>
      </c>
      <c r="H386" s="3" t="s">
        <v>1172</v>
      </c>
      <c r="I386" s="3" t="s">
        <v>1172</v>
      </c>
      <c r="J386" s="63">
        <f>SUM(J387:J388)</f>
        <v>0</v>
      </c>
      <c r="K386" s="63">
        <f>SUM(K387:K388)</f>
        <v>0</v>
      </c>
      <c r="L386" s="63">
        <f>SUM(L387:L388)</f>
        <v>0</v>
      </c>
      <c r="M386" s="4" t="s">
        <v>878</v>
      </c>
      <c r="AI386" s="11" t="s">
        <v>1271</v>
      </c>
      <c r="AS386" s="63">
        <f>SUM(AJ387:AJ388)</f>
        <v>0</v>
      </c>
      <c r="AT386" s="63">
        <f>SUM(AK387:AK388)</f>
        <v>0</v>
      </c>
      <c r="AU386" s="63">
        <f>SUM(AL387:AL388)</f>
        <v>0</v>
      </c>
    </row>
    <row r="387" spans="1:64" ht="15" customHeight="1">
      <c r="A387" s="19" t="s">
        <v>1132</v>
      </c>
      <c r="B387" s="59" t="s">
        <v>1104</v>
      </c>
      <c r="C387" s="76" t="s">
        <v>43</v>
      </c>
      <c r="D387" s="76"/>
      <c r="E387" s="76"/>
      <c r="F387" s="76"/>
      <c r="G387" s="59" t="s">
        <v>1220</v>
      </c>
      <c r="H387" s="40">
        <v>156.636</v>
      </c>
      <c r="I387" s="40">
        <v>0</v>
      </c>
      <c r="J387" s="40">
        <f>H387*AO387</f>
        <v>0</v>
      </c>
      <c r="K387" s="40">
        <f>H387*AP387</f>
        <v>0</v>
      </c>
      <c r="L387" s="40">
        <f>H387*I387</f>
        <v>0</v>
      </c>
      <c r="M387" s="69" t="s">
        <v>868</v>
      </c>
      <c r="Z387" s="40">
        <f>IF(AQ387="5",BJ387,0)</f>
        <v>0</v>
      </c>
      <c r="AB387" s="40">
        <f>IF(AQ387="1",BH387,0)</f>
        <v>0</v>
      </c>
      <c r="AC387" s="40">
        <f>IF(AQ387="1",BI387,0)</f>
        <v>0</v>
      </c>
      <c r="AD387" s="40">
        <f>IF(AQ387="7",BH387,0)</f>
        <v>0</v>
      </c>
      <c r="AE387" s="40">
        <f>IF(AQ387="7",BI387,0)</f>
        <v>0</v>
      </c>
      <c r="AF387" s="40">
        <f>IF(AQ387="2",BH387,0)</f>
        <v>0</v>
      </c>
      <c r="AG387" s="40">
        <f>IF(AQ387="2",BI387,0)</f>
        <v>0</v>
      </c>
      <c r="AH387" s="40">
        <f>IF(AQ387="0",BJ387,0)</f>
        <v>0</v>
      </c>
      <c r="AI387" s="11" t="s">
        <v>1271</v>
      </c>
      <c r="AJ387" s="40">
        <f>IF(AN387=0,L387,0)</f>
        <v>0</v>
      </c>
      <c r="AK387" s="40">
        <f>IF(AN387=15,L387,0)</f>
        <v>0</v>
      </c>
      <c r="AL387" s="40">
        <f>IF(AN387=21,L387,0)</f>
        <v>0</v>
      </c>
      <c r="AN387" s="40">
        <v>21</v>
      </c>
      <c r="AO387" s="40">
        <f>I387*0.503380659550415</f>
        <v>0</v>
      </c>
      <c r="AP387" s="40">
        <f>I387*(1-0.503380659550415)</f>
        <v>0</v>
      </c>
      <c r="AQ387" s="17" t="s">
        <v>1260</v>
      </c>
      <c r="AV387" s="40">
        <f>AW387+AX387</f>
        <v>0</v>
      </c>
      <c r="AW387" s="40">
        <f>H387*AO387</f>
        <v>0</v>
      </c>
      <c r="AX387" s="40">
        <f>H387*AP387</f>
        <v>0</v>
      </c>
      <c r="AY387" s="17" t="s">
        <v>251</v>
      </c>
      <c r="AZ387" s="17" t="s">
        <v>615</v>
      </c>
      <c r="BA387" s="11" t="s">
        <v>140</v>
      </c>
      <c r="BC387" s="40">
        <f>AW387+AX387</f>
        <v>0</v>
      </c>
      <c r="BD387" s="40">
        <f>I387/(100-BE387)*100</f>
        <v>0</v>
      </c>
      <c r="BE387" s="40">
        <v>0</v>
      </c>
      <c r="BF387" s="40">
        <f>387</f>
        <v>387</v>
      </c>
      <c r="BH387" s="40">
        <f>H387*AO387</f>
        <v>0</v>
      </c>
      <c r="BI387" s="40">
        <f>H387*AP387</f>
        <v>0</v>
      </c>
      <c r="BJ387" s="40">
        <f>H387*I387</f>
        <v>0</v>
      </c>
      <c r="BK387" s="40"/>
      <c r="BL387" s="40">
        <v>17</v>
      </c>
    </row>
    <row r="388" spans="1:64" ht="15" customHeight="1">
      <c r="A388" s="19" t="s">
        <v>1322</v>
      </c>
      <c r="B388" s="59" t="s">
        <v>931</v>
      </c>
      <c r="C388" s="76" t="s">
        <v>652</v>
      </c>
      <c r="D388" s="76"/>
      <c r="E388" s="76"/>
      <c r="F388" s="76"/>
      <c r="G388" s="59" t="s">
        <v>1220</v>
      </c>
      <c r="H388" s="40">
        <v>532.826</v>
      </c>
      <c r="I388" s="40">
        <v>0</v>
      </c>
      <c r="J388" s="40">
        <f>H388*AO388</f>
        <v>0</v>
      </c>
      <c r="K388" s="40">
        <f>H388*AP388</f>
        <v>0</v>
      </c>
      <c r="L388" s="40">
        <f>H388*I388</f>
        <v>0</v>
      </c>
      <c r="M388" s="69" t="s">
        <v>868</v>
      </c>
      <c r="Z388" s="40">
        <f>IF(AQ388="5",BJ388,0)</f>
        <v>0</v>
      </c>
      <c r="AB388" s="40">
        <f>IF(AQ388="1",BH388,0)</f>
        <v>0</v>
      </c>
      <c r="AC388" s="40">
        <f>IF(AQ388="1",BI388,0)</f>
        <v>0</v>
      </c>
      <c r="AD388" s="40">
        <f>IF(AQ388="7",BH388,0)</f>
        <v>0</v>
      </c>
      <c r="AE388" s="40">
        <f>IF(AQ388="7",BI388,0)</f>
        <v>0</v>
      </c>
      <c r="AF388" s="40">
        <f>IF(AQ388="2",BH388,0)</f>
        <v>0</v>
      </c>
      <c r="AG388" s="40">
        <f>IF(AQ388="2",BI388,0)</f>
        <v>0</v>
      </c>
      <c r="AH388" s="40">
        <f>IF(AQ388="0",BJ388,0)</f>
        <v>0</v>
      </c>
      <c r="AI388" s="11" t="s">
        <v>1271</v>
      </c>
      <c r="AJ388" s="40">
        <f>IF(AN388=0,L388,0)</f>
        <v>0</v>
      </c>
      <c r="AK388" s="40">
        <f>IF(AN388=15,L388,0)</f>
        <v>0</v>
      </c>
      <c r="AL388" s="40">
        <f>IF(AN388=21,L388,0)</f>
        <v>0</v>
      </c>
      <c r="AN388" s="40">
        <v>21</v>
      </c>
      <c r="AO388" s="40">
        <f>I388*0</f>
        <v>0</v>
      </c>
      <c r="AP388" s="40">
        <f>I388*(1-0)</f>
        <v>0</v>
      </c>
      <c r="AQ388" s="17" t="s">
        <v>1260</v>
      </c>
      <c r="AV388" s="40">
        <f>AW388+AX388</f>
        <v>0</v>
      </c>
      <c r="AW388" s="40">
        <f>H388*AO388</f>
        <v>0</v>
      </c>
      <c r="AX388" s="40">
        <f>H388*AP388</f>
        <v>0</v>
      </c>
      <c r="AY388" s="17" t="s">
        <v>251</v>
      </c>
      <c r="AZ388" s="17" t="s">
        <v>615</v>
      </c>
      <c r="BA388" s="11" t="s">
        <v>140</v>
      </c>
      <c r="BC388" s="40">
        <f>AW388+AX388</f>
        <v>0</v>
      </c>
      <c r="BD388" s="40">
        <f>I388/(100-BE388)*100</f>
        <v>0</v>
      </c>
      <c r="BE388" s="40">
        <v>0</v>
      </c>
      <c r="BF388" s="40">
        <f>388</f>
        <v>388</v>
      </c>
      <c r="BH388" s="40">
        <f>H388*AO388</f>
        <v>0</v>
      </c>
      <c r="BI388" s="40">
        <f>H388*AP388</f>
        <v>0</v>
      </c>
      <c r="BJ388" s="40">
        <f>H388*I388</f>
        <v>0</v>
      </c>
      <c r="BK388" s="40"/>
      <c r="BL388" s="40">
        <v>17</v>
      </c>
    </row>
    <row r="389" spans="1:47" ht="15" customHeight="1">
      <c r="A389" s="24" t="s">
        <v>878</v>
      </c>
      <c r="B389" s="66" t="s">
        <v>1015</v>
      </c>
      <c r="C389" s="92" t="s">
        <v>1278</v>
      </c>
      <c r="D389" s="92"/>
      <c r="E389" s="92"/>
      <c r="F389" s="92"/>
      <c r="G389" s="3" t="s">
        <v>1172</v>
      </c>
      <c r="H389" s="3" t="s">
        <v>1172</v>
      </c>
      <c r="I389" s="3" t="s">
        <v>1172</v>
      </c>
      <c r="J389" s="63">
        <f>SUM(J390:J391)</f>
        <v>0</v>
      </c>
      <c r="K389" s="63">
        <f>SUM(K390:K391)</f>
        <v>0</v>
      </c>
      <c r="L389" s="63">
        <f>SUM(L390:L391)</f>
        <v>0</v>
      </c>
      <c r="M389" s="4" t="s">
        <v>878</v>
      </c>
      <c r="AI389" s="11" t="s">
        <v>1271</v>
      </c>
      <c r="AS389" s="63">
        <f>SUM(AJ390:AJ391)</f>
        <v>0</v>
      </c>
      <c r="AT389" s="63">
        <f>SUM(AK390:AK391)</f>
        <v>0</v>
      </c>
      <c r="AU389" s="63">
        <f>SUM(AL390:AL391)</f>
        <v>0</v>
      </c>
    </row>
    <row r="390" spans="1:64" ht="15" customHeight="1">
      <c r="A390" s="19" t="s">
        <v>375</v>
      </c>
      <c r="B390" s="59" t="s">
        <v>665</v>
      </c>
      <c r="C390" s="76" t="s">
        <v>1012</v>
      </c>
      <c r="D390" s="76"/>
      <c r="E390" s="76"/>
      <c r="F390" s="76"/>
      <c r="G390" s="59" t="s">
        <v>1243</v>
      </c>
      <c r="H390" s="40">
        <v>45</v>
      </c>
      <c r="I390" s="40">
        <v>0</v>
      </c>
      <c r="J390" s="40">
        <f>H390*AO390</f>
        <v>0</v>
      </c>
      <c r="K390" s="40">
        <f>H390*AP390</f>
        <v>0</v>
      </c>
      <c r="L390" s="40">
        <f>H390*I390</f>
        <v>0</v>
      </c>
      <c r="M390" s="69" t="s">
        <v>868</v>
      </c>
      <c r="Z390" s="40">
        <f>IF(AQ390="5",BJ390,0)</f>
        <v>0</v>
      </c>
      <c r="AB390" s="40">
        <f>IF(AQ390="1",BH390,0)</f>
        <v>0</v>
      </c>
      <c r="AC390" s="40">
        <f>IF(AQ390="1",BI390,0)</f>
        <v>0</v>
      </c>
      <c r="AD390" s="40">
        <f>IF(AQ390="7",BH390,0)</f>
        <v>0</v>
      </c>
      <c r="AE390" s="40">
        <f>IF(AQ390="7",BI390,0)</f>
        <v>0</v>
      </c>
      <c r="AF390" s="40">
        <f>IF(AQ390="2",BH390,0)</f>
        <v>0</v>
      </c>
      <c r="AG390" s="40">
        <f>IF(AQ390="2",BI390,0)</f>
        <v>0</v>
      </c>
      <c r="AH390" s="40">
        <f>IF(AQ390="0",BJ390,0)</f>
        <v>0</v>
      </c>
      <c r="AI390" s="11" t="s">
        <v>1271</v>
      </c>
      <c r="AJ390" s="40">
        <f>IF(AN390=0,L390,0)</f>
        <v>0</v>
      </c>
      <c r="AK390" s="40">
        <f>IF(AN390=15,L390,0)</f>
        <v>0</v>
      </c>
      <c r="AL390" s="40">
        <f>IF(AN390=21,L390,0)</f>
        <v>0</v>
      </c>
      <c r="AN390" s="40">
        <v>21</v>
      </c>
      <c r="AO390" s="40">
        <f>I390*0.0401051939513478</f>
        <v>0</v>
      </c>
      <c r="AP390" s="40">
        <f>I390*(1-0.0401051939513478)</f>
        <v>0</v>
      </c>
      <c r="AQ390" s="17" t="s">
        <v>1260</v>
      </c>
      <c r="AV390" s="40">
        <f>AW390+AX390</f>
        <v>0</v>
      </c>
      <c r="AW390" s="40">
        <f>H390*AO390</f>
        <v>0</v>
      </c>
      <c r="AX390" s="40">
        <f>H390*AP390</f>
        <v>0</v>
      </c>
      <c r="AY390" s="17" t="s">
        <v>614</v>
      </c>
      <c r="AZ390" s="17" t="s">
        <v>615</v>
      </c>
      <c r="BA390" s="11" t="s">
        <v>140</v>
      </c>
      <c r="BC390" s="40">
        <f>AW390+AX390</f>
        <v>0</v>
      </c>
      <c r="BD390" s="40">
        <f>I390/(100-BE390)*100</f>
        <v>0</v>
      </c>
      <c r="BE390" s="40">
        <v>0</v>
      </c>
      <c r="BF390" s="40">
        <f>390</f>
        <v>390</v>
      </c>
      <c r="BH390" s="40">
        <f>H390*AO390</f>
        <v>0</v>
      </c>
      <c r="BI390" s="40">
        <f>H390*AP390</f>
        <v>0</v>
      </c>
      <c r="BJ390" s="40">
        <f>H390*I390</f>
        <v>0</v>
      </c>
      <c r="BK390" s="40"/>
      <c r="BL390" s="40">
        <v>18</v>
      </c>
    </row>
    <row r="391" spans="1:64" ht="15" customHeight="1">
      <c r="A391" s="19" t="s">
        <v>849</v>
      </c>
      <c r="B391" s="59" t="s">
        <v>1286</v>
      </c>
      <c r="C391" s="76" t="s">
        <v>1356</v>
      </c>
      <c r="D391" s="76"/>
      <c r="E391" s="76"/>
      <c r="F391" s="76"/>
      <c r="G391" s="59" t="s">
        <v>1197</v>
      </c>
      <c r="H391" s="40">
        <v>0.9</v>
      </c>
      <c r="I391" s="40">
        <v>0</v>
      </c>
      <c r="J391" s="40">
        <f>H391*AO391</f>
        <v>0</v>
      </c>
      <c r="K391" s="40">
        <f>H391*AP391</f>
        <v>0</v>
      </c>
      <c r="L391" s="40">
        <f>H391*I391</f>
        <v>0</v>
      </c>
      <c r="M391" s="69" t="s">
        <v>868</v>
      </c>
      <c r="Z391" s="40">
        <f>IF(AQ391="5",BJ391,0)</f>
        <v>0</v>
      </c>
      <c r="AB391" s="40">
        <f>IF(AQ391="1",BH391,0)</f>
        <v>0</v>
      </c>
      <c r="AC391" s="40">
        <f>IF(AQ391="1",BI391,0)</f>
        <v>0</v>
      </c>
      <c r="AD391" s="40">
        <f>IF(AQ391="7",BH391,0)</f>
        <v>0</v>
      </c>
      <c r="AE391" s="40">
        <f>IF(AQ391="7",BI391,0)</f>
        <v>0</v>
      </c>
      <c r="AF391" s="40">
        <f>IF(AQ391="2",BH391,0)</f>
        <v>0</v>
      </c>
      <c r="AG391" s="40">
        <f>IF(AQ391="2",BI391,0)</f>
        <v>0</v>
      </c>
      <c r="AH391" s="40">
        <f>IF(AQ391="0",BJ391,0)</f>
        <v>0</v>
      </c>
      <c r="AI391" s="11" t="s">
        <v>1271</v>
      </c>
      <c r="AJ391" s="40">
        <f>IF(AN391=0,L391,0)</f>
        <v>0</v>
      </c>
      <c r="AK391" s="40">
        <f>IF(AN391=15,L391,0)</f>
        <v>0</v>
      </c>
      <c r="AL391" s="40">
        <f>IF(AN391=21,L391,0)</f>
        <v>0</v>
      </c>
      <c r="AN391" s="40">
        <v>21</v>
      </c>
      <c r="AO391" s="40">
        <f>I391*1</f>
        <v>0</v>
      </c>
      <c r="AP391" s="40">
        <f>I391*(1-1)</f>
        <v>0</v>
      </c>
      <c r="AQ391" s="17" t="s">
        <v>1260</v>
      </c>
      <c r="AV391" s="40">
        <f>AW391+AX391</f>
        <v>0</v>
      </c>
      <c r="AW391" s="40">
        <f>H391*AO391</f>
        <v>0</v>
      </c>
      <c r="AX391" s="40">
        <f>H391*AP391</f>
        <v>0</v>
      </c>
      <c r="AY391" s="17" t="s">
        <v>614</v>
      </c>
      <c r="AZ391" s="17" t="s">
        <v>615</v>
      </c>
      <c r="BA391" s="11" t="s">
        <v>140</v>
      </c>
      <c r="BC391" s="40">
        <f>AW391+AX391</f>
        <v>0</v>
      </c>
      <c r="BD391" s="40">
        <f>I391/(100-BE391)*100</f>
        <v>0</v>
      </c>
      <c r="BE391" s="40">
        <v>0</v>
      </c>
      <c r="BF391" s="40">
        <f>391</f>
        <v>391</v>
      </c>
      <c r="BH391" s="40">
        <f>H391*AO391</f>
        <v>0</v>
      </c>
      <c r="BI391" s="40">
        <f>H391*AP391</f>
        <v>0</v>
      </c>
      <c r="BJ391" s="40">
        <f>H391*I391</f>
        <v>0</v>
      </c>
      <c r="BK391" s="40"/>
      <c r="BL391" s="40">
        <v>18</v>
      </c>
    </row>
    <row r="392" spans="1:47" ht="15" customHeight="1">
      <c r="A392" s="24" t="s">
        <v>878</v>
      </c>
      <c r="B392" s="66" t="s">
        <v>807</v>
      </c>
      <c r="C392" s="92" t="s">
        <v>428</v>
      </c>
      <c r="D392" s="92"/>
      <c r="E392" s="92"/>
      <c r="F392" s="92"/>
      <c r="G392" s="3" t="s">
        <v>1172</v>
      </c>
      <c r="H392" s="3" t="s">
        <v>1172</v>
      </c>
      <c r="I392" s="3" t="s">
        <v>1172</v>
      </c>
      <c r="J392" s="63">
        <f>SUM(J393:J393)</f>
        <v>0</v>
      </c>
      <c r="K392" s="63">
        <f>SUM(K393:K393)</f>
        <v>0</v>
      </c>
      <c r="L392" s="63">
        <f>SUM(L393:L393)</f>
        <v>0</v>
      </c>
      <c r="M392" s="4" t="s">
        <v>878</v>
      </c>
      <c r="AI392" s="11" t="s">
        <v>1271</v>
      </c>
      <c r="AS392" s="63">
        <f>SUM(AJ393:AJ393)</f>
        <v>0</v>
      </c>
      <c r="AT392" s="63">
        <f>SUM(AK393:AK393)</f>
        <v>0</v>
      </c>
      <c r="AU392" s="63">
        <f>SUM(AL393:AL393)</f>
        <v>0</v>
      </c>
    </row>
    <row r="393" spans="1:64" ht="15" customHeight="1">
      <c r="A393" s="19" t="s">
        <v>194</v>
      </c>
      <c r="B393" s="59" t="s">
        <v>866</v>
      </c>
      <c r="C393" s="76" t="s">
        <v>1217</v>
      </c>
      <c r="D393" s="76"/>
      <c r="E393" s="76"/>
      <c r="F393" s="76"/>
      <c r="G393" s="59" t="s">
        <v>1220</v>
      </c>
      <c r="H393" s="40">
        <v>39.214</v>
      </c>
      <c r="I393" s="40">
        <v>0</v>
      </c>
      <c r="J393" s="40">
        <f>H393*AO393</f>
        <v>0</v>
      </c>
      <c r="K393" s="40">
        <f>H393*AP393</f>
        <v>0</v>
      </c>
      <c r="L393" s="40">
        <f>H393*I393</f>
        <v>0</v>
      </c>
      <c r="M393" s="69" t="s">
        <v>868</v>
      </c>
      <c r="Z393" s="40">
        <f>IF(AQ393="5",BJ393,0)</f>
        <v>0</v>
      </c>
      <c r="AB393" s="40">
        <f>IF(AQ393="1",BH393,0)</f>
        <v>0</v>
      </c>
      <c r="AC393" s="40">
        <f>IF(AQ393="1",BI393,0)</f>
        <v>0</v>
      </c>
      <c r="AD393" s="40">
        <f>IF(AQ393="7",BH393,0)</f>
        <v>0</v>
      </c>
      <c r="AE393" s="40">
        <f>IF(AQ393="7",BI393,0)</f>
        <v>0</v>
      </c>
      <c r="AF393" s="40">
        <f>IF(AQ393="2",BH393,0)</f>
        <v>0</v>
      </c>
      <c r="AG393" s="40">
        <f>IF(AQ393="2",BI393,0)</f>
        <v>0</v>
      </c>
      <c r="AH393" s="40">
        <f>IF(AQ393="0",BJ393,0)</f>
        <v>0</v>
      </c>
      <c r="AI393" s="11" t="s">
        <v>1271</v>
      </c>
      <c r="AJ393" s="40">
        <f>IF(AN393=0,L393,0)</f>
        <v>0</v>
      </c>
      <c r="AK393" s="40">
        <f>IF(AN393=15,L393,0)</f>
        <v>0</v>
      </c>
      <c r="AL393" s="40">
        <f>IF(AN393=21,L393,0)</f>
        <v>0</v>
      </c>
      <c r="AN393" s="40">
        <v>21</v>
      </c>
      <c r="AO393" s="40">
        <f>I393*0</f>
        <v>0</v>
      </c>
      <c r="AP393" s="40">
        <f>I393*(1-0)</f>
        <v>0</v>
      </c>
      <c r="AQ393" s="17" t="s">
        <v>1260</v>
      </c>
      <c r="AV393" s="40">
        <f>AW393+AX393</f>
        <v>0</v>
      </c>
      <c r="AW393" s="40">
        <f>H393*AO393</f>
        <v>0</v>
      </c>
      <c r="AX393" s="40">
        <f>H393*AP393</f>
        <v>0</v>
      </c>
      <c r="AY393" s="17" t="s">
        <v>999</v>
      </c>
      <c r="AZ393" s="17" t="s">
        <v>615</v>
      </c>
      <c r="BA393" s="11" t="s">
        <v>140</v>
      </c>
      <c r="BC393" s="40">
        <f>AW393+AX393</f>
        <v>0</v>
      </c>
      <c r="BD393" s="40">
        <f>I393/(100-BE393)*100</f>
        <v>0</v>
      </c>
      <c r="BE393" s="40">
        <v>0</v>
      </c>
      <c r="BF393" s="40">
        <f>393</f>
        <v>393</v>
      </c>
      <c r="BH393" s="40">
        <f>H393*AO393</f>
        <v>0</v>
      </c>
      <c r="BI393" s="40">
        <f>H393*AP393</f>
        <v>0</v>
      </c>
      <c r="BJ393" s="40">
        <f>H393*I393</f>
        <v>0</v>
      </c>
      <c r="BK393" s="40"/>
      <c r="BL393" s="40">
        <v>19</v>
      </c>
    </row>
    <row r="394" spans="1:47" ht="15" customHeight="1">
      <c r="A394" s="24" t="s">
        <v>878</v>
      </c>
      <c r="B394" s="66" t="s">
        <v>432</v>
      </c>
      <c r="C394" s="92" t="s">
        <v>991</v>
      </c>
      <c r="D394" s="92"/>
      <c r="E394" s="92"/>
      <c r="F394" s="92"/>
      <c r="G394" s="3" t="s">
        <v>1172</v>
      </c>
      <c r="H394" s="3" t="s">
        <v>1172</v>
      </c>
      <c r="I394" s="3" t="s">
        <v>1172</v>
      </c>
      <c r="J394" s="63">
        <f>SUM(J395:J396)</f>
        <v>0</v>
      </c>
      <c r="K394" s="63">
        <f>SUM(K395:K396)</f>
        <v>0</v>
      </c>
      <c r="L394" s="63">
        <f>SUM(L395:L396)</f>
        <v>0</v>
      </c>
      <c r="M394" s="4" t="s">
        <v>878</v>
      </c>
      <c r="AI394" s="11" t="s">
        <v>1271</v>
      </c>
      <c r="AS394" s="63">
        <f>SUM(AJ395:AJ396)</f>
        <v>0</v>
      </c>
      <c r="AT394" s="63">
        <f>SUM(AK395:AK396)</f>
        <v>0</v>
      </c>
      <c r="AU394" s="63">
        <f>SUM(AL395:AL396)</f>
        <v>0</v>
      </c>
    </row>
    <row r="395" spans="1:64" ht="15" customHeight="1">
      <c r="A395" s="19" t="s">
        <v>331</v>
      </c>
      <c r="B395" s="59" t="s">
        <v>898</v>
      </c>
      <c r="C395" s="76" t="s">
        <v>370</v>
      </c>
      <c r="D395" s="76"/>
      <c r="E395" s="76"/>
      <c r="F395" s="76"/>
      <c r="G395" s="59" t="s">
        <v>1220</v>
      </c>
      <c r="H395" s="40">
        <v>39.159</v>
      </c>
      <c r="I395" s="40">
        <v>0</v>
      </c>
      <c r="J395" s="40">
        <f>H395*AO395</f>
        <v>0</v>
      </c>
      <c r="K395" s="40">
        <f>H395*AP395</f>
        <v>0</v>
      </c>
      <c r="L395" s="40">
        <f>H395*I395</f>
        <v>0</v>
      </c>
      <c r="M395" s="69" t="s">
        <v>868</v>
      </c>
      <c r="Z395" s="40">
        <f>IF(AQ395="5",BJ395,0)</f>
        <v>0</v>
      </c>
      <c r="AB395" s="40">
        <f>IF(AQ395="1",BH395,0)</f>
        <v>0</v>
      </c>
      <c r="AC395" s="40">
        <f>IF(AQ395="1",BI395,0)</f>
        <v>0</v>
      </c>
      <c r="AD395" s="40">
        <f>IF(AQ395="7",BH395,0)</f>
        <v>0</v>
      </c>
      <c r="AE395" s="40">
        <f>IF(AQ395="7",BI395,0)</f>
        <v>0</v>
      </c>
      <c r="AF395" s="40">
        <f>IF(AQ395="2",BH395,0)</f>
        <v>0</v>
      </c>
      <c r="AG395" s="40">
        <f>IF(AQ395="2",BI395,0)</f>
        <v>0</v>
      </c>
      <c r="AH395" s="40">
        <f>IF(AQ395="0",BJ395,0)</f>
        <v>0</v>
      </c>
      <c r="AI395" s="11" t="s">
        <v>1271</v>
      </c>
      <c r="AJ395" s="40">
        <f>IF(AN395=0,L395,0)</f>
        <v>0</v>
      </c>
      <c r="AK395" s="40">
        <f>IF(AN395=15,L395,0)</f>
        <v>0</v>
      </c>
      <c r="AL395" s="40">
        <f>IF(AN395=21,L395,0)</f>
        <v>0</v>
      </c>
      <c r="AN395" s="40">
        <v>21</v>
      </c>
      <c r="AO395" s="40">
        <f>I395*0.480904523416475</f>
        <v>0</v>
      </c>
      <c r="AP395" s="40">
        <f>I395*(1-0.480904523416475)</f>
        <v>0</v>
      </c>
      <c r="AQ395" s="17" t="s">
        <v>1260</v>
      </c>
      <c r="AV395" s="40">
        <f>AW395+AX395</f>
        <v>0</v>
      </c>
      <c r="AW395" s="40">
        <f>H395*AO395</f>
        <v>0</v>
      </c>
      <c r="AX395" s="40">
        <f>H395*AP395</f>
        <v>0</v>
      </c>
      <c r="AY395" s="17" t="s">
        <v>604</v>
      </c>
      <c r="AZ395" s="17" t="s">
        <v>356</v>
      </c>
      <c r="BA395" s="11" t="s">
        <v>140</v>
      </c>
      <c r="BC395" s="40">
        <f>AW395+AX395</f>
        <v>0</v>
      </c>
      <c r="BD395" s="40">
        <f>I395/(100-BE395)*100</f>
        <v>0</v>
      </c>
      <c r="BE395" s="40">
        <v>0</v>
      </c>
      <c r="BF395" s="40">
        <f>395</f>
        <v>395</v>
      </c>
      <c r="BH395" s="40">
        <f>H395*AO395</f>
        <v>0</v>
      </c>
      <c r="BI395" s="40">
        <f>H395*AP395</f>
        <v>0</v>
      </c>
      <c r="BJ395" s="40">
        <f>H395*I395</f>
        <v>0</v>
      </c>
      <c r="BK395" s="40"/>
      <c r="BL395" s="40">
        <v>45</v>
      </c>
    </row>
    <row r="396" spans="1:64" ht="15" customHeight="1">
      <c r="A396" s="19" t="s">
        <v>1432</v>
      </c>
      <c r="B396" s="59" t="s">
        <v>1017</v>
      </c>
      <c r="C396" s="76" t="s">
        <v>1367</v>
      </c>
      <c r="D396" s="76"/>
      <c r="E396" s="76"/>
      <c r="F396" s="76"/>
      <c r="G396" s="59" t="s">
        <v>1220</v>
      </c>
      <c r="H396" s="40">
        <v>0.05</v>
      </c>
      <c r="I396" s="40">
        <v>0</v>
      </c>
      <c r="J396" s="40">
        <f>H396*AO396</f>
        <v>0</v>
      </c>
      <c r="K396" s="40">
        <f>H396*AP396</f>
        <v>0</v>
      </c>
      <c r="L396" s="40">
        <f>H396*I396</f>
        <v>0</v>
      </c>
      <c r="M396" s="69" t="s">
        <v>868</v>
      </c>
      <c r="Z396" s="40">
        <f>IF(AQ396="5",BJ396,0)</f>
        <v>0</v>
      </c>
      <c r="AB396" s="40">
        <f>IF(AQ396="1",BH396,0)</f>
        <v>0</v>
      </c>
      <c r="AC396" s="40">
        <f>IF(AQ396="1",BI396,0)</f>
        <v>0</v>
      </c>
      <c r="AD396" s="40">
        <f>IF(AQ396="7",BH396,0)</f>
        <v>0</v>
      </c>
      <c r="AE396" s="40">
        <f>IF(AQ396="7",BI396,0)</f>
        <v>0</v>
      </c>
      <c r="AF396" s="40">
        <f>IF(AQ396="2",BH396,0)</f>
        <v>0</v>
      </c>
      <c r="AG396" s="40">
        <f>IF(AQ396="2",BI396,0)</f>
        <v>0</v>
      </c>
      <c r="AH396" s="40">
        <f>IF(AQ396="0",BJ396,0)</f>
        <v>0</v>
      </c>
      <c r="AI396" s="11" t="s">
        <v>1271</v>
      </c>
      <c r="AJ396" s="40">
        <f>IF(AN396=0,L396,0)</f>
        <v>0</v>
      </c>
      <c r="AK396" s="40">
        <f>IF(AN396=15,L396,0)</f>
        <v>0</v>
      </c>
      <c r="AL396" s="40">
        <f>IF(AN396=21,L396,0)</f>
        <v>0</v>
      </c>
      <c r="AN396" s="40">
        <v>21</v>
      </c>
      <c r="AO396" s="40">
        <f>I396*0.786681350954479</f>
        <v>0</v>
      </c>
      <c r="AP396" s="40">
        <f>I396*(1-0.786681350954479)</f>
        <v>0</v>
      </c>
      <c r="AQ396" s="17" t="s">
        <v>1260</v>
      </c>
      <c r="AV396" s="40">
        <f>AW396+AX396</f>
        <v>0</v>
      </c>
      <c r="AW396" s="40">
        <f>H396*AO396</f>
        <v>0</v>
      </c>
      <c r="AX396" s="40">
        <f>H396*AP396</f>
        <v>0</v>
      </c>
      <c r="AY396" s="17" t="s">
        <v>604</v>
      </c>
      <c r="AZ396" s="17" t="s">
        <v>356</v>
      </c>
      <c r="BA396" s="11" t="s">
        <v>140</v>
      </c>
      <c r="BC396" s="40">
        <f>AW396+AX396</f>
        <v>0</v>
      </c>
      <c r="BD396" s="40">
        <f>I396/(100-BE396)*100</f>
        <v>0</v>
      </c>
      <c r="BE396" s="40">
        <v>0</v>
      </c>
      <c r="BF396" s="40">
        <f>396</f>
        <v>396</v>
      </c>
      <c r="BH396" s="40">
        <f>H396*AO396</f>
        <v>0</v>
      </c>
      <c r="BI396" s="40">
        <f>H396*AP396</f>
        <v>0</v>
      </c>
      <c r="BJ396" s="40">
        <f>H396*I396</f>
        <v>0</v>
      </c>
      <c r="BK396" s="40"/>
      <c r="BL396" s="40">
        <v>45</v>
      </c>
    </row>
    <row r="397" spans="1:47" ht="15" customHeight="1">
      <c r="A397" s="24" t="s">
        <v>878</v>
      </c>
      <c r="B397" s="66" t="s">
        <v>1144</v>
      </c>
      <c r="C397" s="92" t="s">
        <v>781</v>
      </c>
      <c r="D397" s="92"/>
      <c r="E397" s="92"/>
      <c r="F397" s="92"/>
      <c r="G397" s="3" t="s">
        <v>1172</v>
      </c>
      <c r="H397" s="3" t="s">
        <v>1172</v>
      </c>
      <c r="I397" s="3" t="s">
        <v>1172</v>
      </c>
      <c r="J397" s="63">
        <f>SUM(J398:J398)</f>
        <v>0</v>
      </c>
      <c r="K397" s="63">
        <f>SUM(K398:K398)</f>
        <v>0</v>
      </c>
      <c r="L397" s="63">
        <f>SUM(L398:L398)</f>
        <v>0</v>
      </c>
      <c r="M397" s="4" t="s">
        <v>878</v>
      </c>
      <c r="AI397" s="11" t="s">
        <v>1271</v>
      </c>
      <c r="AS397" s="63">
        <f>SUM(AJ398:AJ398)</f>
        <v>0</v>
      </c>
      <c r="AT397" s="63">
        <f>SUM(AK398:AK398)</f>
        <v>0</v>
      </c>
      <c r="AU397" s="63">
        <f>SUM(AL398:AL398)</f>
        <v>0</v>
      </c>
    </row>
    <row r="398" spans="1:64" ht="15" customHeight="1">
      <c r="A398" s="19" t="s">
        <v>1300</v>
      </c>
      <c r="B398" s="59" t="s">
        <v>116</v>
      </c>
      <c r="C398" s="76" t="s">
        <v>895</v>
      </c>
      <c r="D398" s="76"/>
      <c r="E398" s="76"/>
      <c r="F398" s="76"/>
      <c r="G398" s="59" t="s">
        <v>312</v>
      </c>
      <c r="H398" s="40">
        <v>47</v>
      </c>
      <c r="I398" s="40">
        <v>0</v>
      </c>
      <c r="J398" s="40">
        <f>H398*AO398</f>
        <v>0</v>
      </c>
      <c r="K398" s="40">
        <f>H398*AP398</f>
        <v>0</v>
      </c>
      <c r="L398" s="40">
        <f>H398*I398</f>
        <v>0</v>
      </c>
      <c r="M398" s="69" t="s">
        <v>868</v>
      </c>
      <c r="Z398" s="40">
        <f>IF(AQ398="5",BJ398,0)</f>
        <v>0</v>
      </c>
      <c r="AB398" s="40">
        <f>IF(AQ398="1",BH398,0)</f>
        <v>0</v>
      </c>
      <c r="AC398" s="40">
        <f>IF(AQ398="1",BI398,0)</f>
        <v>0</v>
      </c>
      <c r="AD398" s="40">
        <f>IF(AQ398="7",BH398,0)</f>
        <v>0</v>
      </c>
      <c r="AE398" s="40">
        <f>IF(AQ398="7",BI398,0)</f>
        <v>0</v>
      </c>
      <c r="AF398" s="40">
        <f>IF(AQ398="2",BH398,0)</f>
        <v>0</v>
      </c>
      <c r="AG398" s="40">
        <f>IF(AQ398="2",BI398,0)</f>
        <v>0</v>
      </c>
      <c r="AH398" s="40">
        <f>IF(AQ398="0",BJ398,0)</f>
        <v>0</v>
      </c>
      <c r="AI398" s="11" t="s">
        <v>1271</v>
      </c>
      <c r="AJ398" s="40">
        <f>IF(AN398=0,L398,0)</f>
        <v>0</v>
      </c>
      <c r="AK398" s="40">
        <f>IF(AN398=15,L398,0)</f>
        <v>0</v>
      </c>
      <c r="AL398" s="40">
        <f>IF(AN398=21,L398,0)</f>
        <v>0</v>
      </c>
      <c r="AN398" s="40">
        <v>21</v>
      </c>
      <c r="AO398" s="40">
        <f>I398*0</f>
        <v>0</v>
      </c>
      <c r="AP398" s="40">
        <f>I398*(1-0)</f>
        <v>0</v>
      </c>
      <c r="AQ398" s="17" t="s">
        <v>1262</v>
      </c>
      <c r="AV398" s="40">
        <f>AW398+AX398</f>
        <v>0</v>
      </c>
      <c r="AW398" s="40">
        <f>H398*AO398</f>
        <v>0</v>
      </c>
      <c r="AX398" s="40">
        <f>H398*AP398</f>
        <v>0</v>
      </c>
      <c r="AY398" s="17" t="s">
        <v>804</v>
      </c>
      <c r="AZ398" s="17" t="s">
        <v>1352</v>
      </c>
      <c r="BA398" s="11" t="s">
        <v>140</v>
      </c>
      <c r="BC398" s="40">
        <f>AW398+AX398</f>
        <v>0</v>
      </c>
      <c r="BD398" s="40">
        <f>I398/(100-BE398)*100</f>
        <v>0</v>
      </c>
      <c r="BE398" s="40">
        <v>0</v>
      </c>
      <c r="BF398" s="40">
        <f>398</f>
        <v>398</v>
      </c>
      <c r="BH398" s="40">
        <f>H398*AO398</f>
        <v>0</v>
      </c>
      <c r="BI398" s="40">
        <f>H398*AP398</f>
        <v>0</v>
      </c>
      <c r="BJ398" s="40">
        <f>H398*I398</f>
        <v>0</v>
      </c>
      <c r="BK398" s="40"/>
      <c r="BL398" s="40">
        <v>722</v>
      </c>
    </row>
    <row r="399" spans="1:47" ht="15" customHeight="1">
      <c r="A399" s="24" t="s">
        <v>878</v>
      </c>
      <c r="B399" s="66" t="s">
        <v>606</v>
      </c>
      <c r="C399" s="92" t="s">
        <v>557</v>
      </c>
      <c r="D399" s="92"/>
      <c r="E399" s="92"/>
      <c r="F399" s="92"/>
      <c r="G399" s="3" t="s">
        <v>1172</v>
      </c>
      <c r="H399" s="3" t="s">
        <v>1172</v>
      </c>
      <c r="I399" s="3" t="s">
        <v>1172</v>
      </c>
      <c r="J399" s="63">
        <f>SUM(J400:J407)</f>
        <v>0</v>
      </c>
      <c r="K399" s="63">
        <f>SUM(K400:K407)</f>
        <v>0</v>
      </c>
      <c r="L399" s="63">
        <f>SUM(L400:L407)</f>
        <v>0</v>
      </c>
      <c r="M399" s="4" t="s">
        <v>878</v>
      </c>
      <c r="AI399" s="11" t="s">
        <v>1271</v>
      </c>
      <c r="AS399" s="63">
        <f>SUM(AJ400:AJ407)</f>
        <v>0</v>
      </c>
      <c r="AT399" s="63">
        <f>SUM(AK400:AK407)</f>
        <v>0</v>
      </c>
      <c r="AU399" s="63">
        <f>SUM(AL400:AL407)</f>
        <v>0</v>
      </c>
    </row>
    <row r="400" spans="1:64" ht="15" customHeight="1">
      <c r="A400" s="19" t="s">
        <v>576</v>
      </c>
      <c r="B400" s="59" t="s">
        <v>577</v>
      </c>
      <c r="C400" s="76" t="s">
        <v>715</v>
      </c>
      <c r="D400" s="76"/>
      <c r="E400" s="76"/>
      <c r="F400" s="76"/>
      <c r="G400" s="59" t="s">
        <v>312</v>
      </c>
      <c r="H400" s="40">
        <v>2</v>
      </c>
      <c r="I400" s="40">
        <v>0</v>
      </c>
      <c r="J400" s="40">
        <f aca="true" t="shared" si="254" ref="J400:J407">H400*AO400</f>
        <v>0</v>
      </c>
      <c r="K400" s="40">
        <f aca="true" t="shared" si="255" ref="K400:K407">H400*AP400</f>
        <v>0</v>
      </c>
      <c r="L400" s="40">
        <f aca="true" t="shared" si="256" ref="L400:L407">H400*I400</f>
        <v>0</v>
      </c>
      <c r="M400" s="69" t="s">
        <v>868</v>
      </c>
      <c r="Z400" s="40">
        <f aca="true" t="shared" si="257" ref="Z400:Z407">IF(AQ400="5",BJ400,0)</f>
        <v>0</v>
      </c>
      <c r="AB400" s="40">
        <f aca="true" t="shared" si="258" ref="AB400:AB407">IF(AQ400="1",BH400,0)</f>
        <v>0</v>
      </c>
      <c r="AC400" s="40">
        <f aca="true" t="shared" si="259" ref="AC400:AC407">IF(AQ400="1",BI400,0)</f>
        <v>0</v>
      </c>
      <c r="AD400" s="40">
        <f aca="true" t="shared" si="260" ref="AD400:AD407">IF(AQ400="7",BH400,0)</f>
        <v>0</v>
      </c>
      <c r="AE400" s="40">
        <f aca="true" t="shared" si="261" ref="AE400:AE407">IF(AQ400="7",BI400,0)</f>
        <v>0</v>
      </c>
      <c r="AF400" s="40">
        <f aca="true" t="shared" si="262" ref="AF400:AF407">IF(AQ400="2",BH400,0)</f>
        <v>0</v>
      </c>
      <c r="AG400" s="40">
        <f aca="true" t="shared" si="263" ref="AG400:AG407">IF(AQ400="2",BI400,0)</f>
        <v>0</v>
      </c>
      <c r="AH400" s="40">
        <f aca="true" t="shared" si="264" ref="AH400:AH407">IF(AQ400="0",BJ400,0)</f>
        <v>0</v>
      </c>
      <c r="AI400" s="11" t="s">
        <v>1271</v>
      </c>
      <c r="AJ400" s="40">
        <f aca="true" t="shared" si="265" ref="AJ400:AJ407">IF(AN400=0,L400,0)</f>
        <v>0</v>
      </c>
      <c r="AK400" s="40">
        <f aca="true" t="shared" si="266" ref="AK400:AK407">IF(AN400=15,L400,0)</f>
        <v>0</v>
      </c>
      <c r="AL400" s="40">
        <f aca="true" t="shared" si="267" ref="AL400:AL407">IF(AN400=21,L400,0)</f>
        <v>0</v>
      </c>
      <c r="AN400" s="40">
        <v>21</v>
      </c>
      <c r="AO400" s="40">
        <f>I400*0.225335234199054</f>
        <v>0</v>
      </c>
      <c r="AP400" s="40">
        <f>I400*(1-0.225335234199054)</f>
        <v>0</v>
      </c>
      <c r="AQ400" s="17" t="s">
        <v>1260</v>
      </c>
      <c r="AV400" s="40">
        <f aca="true" t="shared" si="268" ref="AV400:AV407">AW400+AX400</f>
        <v>0</v>
      </c>
      <c r="AW400" s="40">
        <f aca="true" t="shared" si="269" ref="AW400:AW407">H400*AO400</f>
        <v>0</v>
      </c>
      <c r="AX400" s="40">
        <f aca="true" t="shared" si="270" ref="AX400:AX407">H400*AP400</f>
        <v>0</v>
      </c>
      <c r="AY400" s="17" t="s">
        <v>1093</v>
      </c>
      <c r="AZ400" s="17" t="s">
        <v>151</v>
      </c>
      <c r="BA400" s="11" t="s">
        <v>140</v>
      </c>
      <c r="BC400" s="40">
        <f aca="true" t="shared" si="271" ref="BC400:BC407">AW400+AX400</f>
        <v>0</v>
      </c>
      <c r="BD400" s="40">
        <f aca="true" t="shared" si="272" ref="BD400:BD407">I400/(100-BE400)*100</f>
        <v>0</v>
      </c>
      <c r="BE400" s="40">
        <v>0</v>
      </c>
      <c r="BF400" s="40">
        <f>400</f>
        <v>400</v>
      </c>
      <c r="BH400" s="40">
        <f aca="true" t="shared" si="273" ref="BH400:BH407">H400*AO400</f>
        <v>0</v>
      </c>
      <c r="BI400" s="40">
        <f aca="true" t="shared" si="274" ref="BI400:BI407">H400*AP400</f>
        <v>0</v>
      </c>
      <c r="BJ400" s="40">
        <f aca="true" t="shared" si="275" ref="BJ400:BJ407">H400*I400</f>
        <v>0</v>
      </c>
      <c r="BK400" s="40"/>
      <c r="BL400" s="40">
        <v>85</v>
      </c>
    </row>
    <row r="401" spans="1:64" ht="15" customHeight="1">
      <c r="A401" s="19" t="s">
        <v>1115</v>
      </c>
      <c r="B401" s="59" t="s">
        <v>1028</v>
      </c>
      <c r="C401" s="76" t="s">
        <v>5</v>
      </c>
      <c r="D401" s="76"/>
      <c r="E401" s="76"/>
      <c r="F401" s="76"/>
      <c r="G401" s="59" t="s">
        <v>312</v>
      </c>
      <c r="H401" s="40">
        <v>4</v>
      </c>
      <c r="I401" s="40">
        <v>0</v>
      </c>
      <c r="J401" s="40">
        <f t="shared" si="254"/>
        <v>0</v>
      </c>
      <c r="K401" s="40">
        <f t="shared" si="255"/>
        <v>0</v>
      </c>
      <c r="L401" s="40">
        <f t="shared" si="256"/>
        <v>0</v>
      </c>
      <c r="M401" s="69" t="s">
        <v>868</v>
      </c>
      <c r="Z401" s="40">
        <f t="shared" si="257"/>
        <v>0</v>
      </c>
      <c r="AB401" s="40">
        <f t="shared" si="258"/>
        <v>0</v>
      </c>
      <c r="AC401" s="40">
        <f t="shared" si="259"/>
        <v>0</v>
      </c>
      <c r="AD401" s="40">
        <f t="shared" si="260"/>
        <v>0</v>
      </c>
      <c r="AE401" s="40">
        <f t="shared" si="261"/>
        <v>0</v>
      </c>
      <c r="AF401" s="40">
        <f t="shared" si="262"/>
        <v>0</v>
      </c>
      <c r="AG401" s="40">
        <f t="shared" si="263"/>
        <v>0</v>
      </c>
      <c r="AH401" s="40">
        <f t="shared" si="264"/>
        <v>0</v>
      </c>
      <c r="AI401" s="11" t="s">
        <v>1271</v>
      </c>
      <c r="AJ401" s="40">
        <f t="shared" si="265"/>
        <v>0</v>
      </c>
      <c r="AK401" s="40">
        <f t="shared" si="266"/>
        <v>0</v>
      </c>
      <c r="AL401" s="40">
        <f t="shared" si="267"/>
        <v>0</v>
      </c>
      <c r="AN401" s="40">
        <v>21</v>
      </c>
      <c r="AO401" s="40">
        <f>I401*0.331530944625407</f>
        <v>0</v>
      </c>
      <c r="AP401" s="40">
        <f>I401*(1-0.331530944625407)</f>
        <v>0</v>
      </c>
      <c r="AQ401" s="17" t="s">
        <v>1260</v>
      </c>
      <c r="AV401" s="40">
        <f t="shared" si="268"/>
        <v>0</v>
      </c>
      <c r="AW401" s="40">
        <f t="shared" si="269"/>
        <v>0</v>
      </c>
      <c r="AX401" s="40">
        <f t="shared" si="270"/>
        <v>0</v>
      </c>
      <c r="AY401" s="17" t="s">
        <v>1093</v>
      </c>
      <c r="AZ401" s="17" t="s">
        <v>151</v>
      </c>
      <c r="BA401" s="11" t="s">
        <v>140</v>
      </c>
      <c r="BC401" s="40">
        <f t="shared" si="271"/>
        <v>0</v>
      </c>
      <c r="BD401" s="40">
        <f t="shared" si="272"/>
        <v>0</v>
      </c>
      <c r="BE401" s="40">
        <v>0</v>
      </c>
      <c r="BF401" s="40">
        <f>401</f>
        <v>401</v>
      </c>
      <c r="BH401" s="40">
        <f t="shared" si="273"/>
        <v>0</v>
      </c>
      <c r="BI401" s="40">
        <f t="shared" si="274"/>
        <v>0</v>
      </c>
      <c r="BJ401" s="40">
        <f t="shared" si="275"/>
        <v>0</v>
      </c>
      <c r="BK401" s="40"/>
      <c r="BL401" s="40">
        <v>85</v>
      </c>
    </row>
    <row r="402" spans="1:64" ht="15" customHeight="1">
      <c r="A402" s="19" t="s">
        <v>15</v>
      </c>
      <c r="B402" s="59" t="s">
        <v>1252</v>
      </c>
      <c r="C402" s="76" t="s">
        <v>597</v>
      </c>
      <c r="D402" s="76"/>
      <c r="E402" s="76"/>
      <c r="F402" s="76"/>
      <c r="G402" s="59" t="s">
        <v>312</v>
      </c>
      <c r="H402" s="40">
        <v>2</v>
      </c>
      <c r="I402" s="40">
        <v>0</v>
      </c>
      <c r="J402" s="40">
        <f t="shared" si="254"/>
        <v>0</v>
      </c>
      <c r="K402" s="40">
        <f t="shared" si="255"/>
        <v>0</v>
      </c>
      <c r="L402" s="40">
        <f t="shared" si="256"/>
        <v>0</v>
      </c>
      <c r="M402" s="69" t="s">
        <v>868</v>
      </c>
      <c r="Z402" s="40">
        <f t="shared" si="257"/>
        <v>0</v>
      </c>
      <c r="AB402" s="40">
        <f t="shared" si="258"/>
        <v>0</v>
      </c>
      <c r="AC402" s="40">
        <f t="shared" si="259"/>
        <v>0</v>
      </c>
      <c r="AD402" s="40">
        <f t="shared" si="260"/>
        <v>0</v>
      </c>
      <c r="AE402" s="40">
        <f t="shared" si="261"/>
        <v>0</v>
      </c>
      <c r="AF402" s="40">
        <f t="shared" si="262"/>
        <v>0</v>
      </c>
      <c r="AG402" s="40">
        <f t="shared" si="263"/>
        <v>0</v>
      </c>
      <c r="AH402" s="40">
        <f t="shared" si="264"/>
        <v>0</v>
      </c>
      <c r="AI402" s="11" t="s">
        <v>1271</v>
      </c>
      <c r="AJ402" s="40">
        <f t="shared" si="265"/>
        <v>0</v>
      </c>
      <c r="AK402" s="40">
        <f t="shared" si="266"/>
        <v>0</v>
      </c>
      <c r="AL402" s="40">
        <f t="shared" si="267"/>
        <v>0</v>
      </c>
      <c r="AN402" s="40">
        <v>21</v>
      </c>
      <c r="AO402" s="40">
        <f>I402*1</f>
        <v>0</v>
      </c>
      <c r="AP402" s="40">
        <f>I402*(1-1)</f>
        <v>0</v>
      </c>
      <c r="AQ402" s="17" t="s">
        <v>1260</v>
      </c>
      <c r="AV402" s="40">
        <f t="shared" si="268"/>
        <v>0</v>
      </c>
      <c r="AW402" s="40">
        <f t="shared" si="269"/>
        <v>0</v>
      </c>
      <c r="AX402" s="40">
        <f t="shared" si="270"/>
        <v>0</v>
      </c>
      <c r="AY402" s="17" t="s">
        <v>1093</v>
      </c>
      <c r="AZ402" s="17" t="s">
        <v>151</v>
      </c>
      <c r="BA402" s="11" t="s">
        <v>140</v>
      </c>
      <c r="BC402" s="40">
        <f t="shared" si="271"/>
        <v>0</v>
      </c>
      <c r="BD402" s="40">
        <f t="shared" si="272"/>
        <v>0</v>
      </c>
      <c r="BE402" s="40">
        <v>0</v>
      </c>
      <c r="BF402" s="40">
        <f>402</f>
        <v>402</v>
      </c>
      <c r="BH402" s="40">
        <f t="shared" si="273"/>
        <v>0</v>
      </c>
      <c r="BI402" s="40">
        <f t="shared" si="274"/>
        <v>0</v>
      </c>
      <c r="BJ402" s="40">
        <f t="shared" si="275"/>
        <v>0</v>
      </c>
      <c r="BK402" s="40"/>
      <c r="BL402" s="40">
        <v>85</v>
      </c>
    </row>
    <row r="403" spans="1:64" ht="15" customHeight="1">
      <c r="A403" s="19" t="s">
        <v>953</v>
      </c>
      <c r="B403" s="59" t="s">
        <v>711</v>
      </c>
      <c r="C403" s="76" t="s">
        <v>960</v>
      </c>
      <c r="D403" s="76"/>
      <c r="E403" s="76"/>
      <c r="F403" s="76"/>
      <c r="G403" s="59" t="s">
        <v>312</v>
      </c>
      <c r="H403" s="40">
        <v>2</v>
      </c>
      <c r="I403" s="40">
        <v>0</v>
      </c>
      <c r="J403" s="40">
        <f t="shared" si="254"/>
        <v>0</v>
      </c>
      <c r="K403" s="40">
        <f t="shared" si="255"/>
        <v>0</v>
      </c>
      <c r="L403" s="40">
        <f t="shared" si="256"/>
        <v>0</v>
      </c>
      <c r="M403" s="69" t="s">
        <v>868</v>
      </c>
      <c r="Z403" s="40">
        <f t="shared" si="257"/>
        <v>0</v>
      </c>
      <c r="AB403" s="40">
        <f t="shared" si="258"/>
        <v>0</v>
      </c>
      <c r="AC403" s="40">
        <f t="shared" si="259"/>
        <v>0</v>
      </c>
      <c r="AD403" s="40">
        <f t="shared" si="260"/>
        <v>0</v>
      </c>
      <c r="AE403" s="40">
        <f t="shared" si="261"/>
        <v>0</v>
      </c>
      <c r="AF403" s="40">
        <f t="shared" si="262"/>
        <v>0</v>
      </c>
      <c r="AG403" s="40">
        <f t="shared" si="263"/>
        <v>0</v>
      </c>
      <c r="AH403" s="40">
        <f t="shared" si="264"/>
        <v>0</v>
      </c>
      <c r="AI403" s="11" t="s">
        <v>1271</v>
      </c>
      <c r="AJ403" s="40">
        <f t="shared" si="265"/>
        <v>0</v>
      </c>
      <c r="AK403" s="40">
        <f t="shared" si="266"/>
        <v>0</v>
      </c>
      <c r="AL403" s="40">
        <f t="shared" si="267"/>
        <v>0</v>
      </c>
      <c r="AN403" s="40">
        <v>21</v>
      </c>
      <c r="AO403" s="40">
        <f>I403*1</f>
        <v>0</v>
      </c>
      <c r="AP403" s="40">
        <f>I403*(1-1)</f>
        <v>0</v>
      </c>
      <c r="AQ403" s="17" t="s">
        <v>1260</v>
      </c>
      <c r="AV403" s="40">
        <f t="shared" si="268"/>
        <v>0</v>
      </c>
      <c r="AW403" s="40">
        <f t="shared" si="269"/>
        <v>0</v>
      </c>
      <c r="AX403" s="40">
        <f t="shared" si="270"/>
        <v>0</v>
      </c>
      <c r="AY403" s="17" t="s">
        <v>1093</v>
      </c>
      <c r="AZ403" s="17" t="s">
        <v>151</v>
      </c>
      <c r="BA403" s="11" t="s">
        <v>140</v>
      </c>
      <c r="BC403" s="40">
        <f t="shared" si="271"/>
        <v>0</v>
      </c>
      <c r="BD403" s="40">
        <f t="shared" si="272"/>
        <v>0</v>
      </c>
      <c r="BE403" s="40">
        <v>0</v>
      </c>
      <c r="BF403" s="40">
        <f>403</f>
        <v>403</v>
      </c>
      <c r="BH403" s="40">
        <f t="shared" si="273"/>
        <v>0</v>
      </c>
      <c r="BI403" s="40">
        <f t="shared" si="274"/>
        <v>0</v>
      </c>
      <c r="BJ403" s="40">
        <f t="shared" si="275"/>
        <v>0</v>
      </c>
      <c r="BK403" s="40"/>
      <c r="BL403" s="40">
        <v>85</v>
      </c>
    </row>
    <row r="404" spans="1:64" ht="15" customHeight="1">
      <c r="A404" s="19" t="s">
        <v>714</v>
      </c>
      <c r="B404" s="59" t="s">
        <v>1409</v>
      </c>
      <c r="C404" s="76" t="s">
        <v>1048</v>
      </c>
      <c r="D404" s="76"/>
      <c r="E404" s="76"/>
      <c r="F404" s="76"/>
      <c r="G404" s="59" t="s">
        <v>312</v>
      </c>
      <c r="H404" s="40">
        <v>10</v>
      </c>
      <c r="I404" s="40">
        <v>0</v>
      </c>
      <c r="J404" s="40">
        <f t="shared" si="254"/>
        <v>0</v>
      </c>
      <c r="K404" s="40">
        <f t="shared" si="255"/>
        <v>0</v>
      </c>
      <c r="L404" s="40">
        <f t="shared" si="256"/>
        <v>0</v>
      </c>
      <c r="M404" s="69" t="s">
        <v>868</v>
      </c>
      <c r="Z404" s="40">
        <f t="shared" si="257"/>
        <v>0</v>
      </c>
      <c r="AB404" s="40">
        <f t="shared" si="258"/>
        <v>0</v>
      </c>
      <c r="AC404" s="40">
        <f t="shared" si="259"/>
        <v>0</v>
      </c>
      <c r="AD404" s="40">
        <f t="shared" si="260"/>
        <v>0</v>
      </c>
      <c r="AE404" s="40">
        <f t="shared" si="261"/>
        <v>0</v>
      </c>
      <c r="AF404" s="40">
        <f t="shared" si="262"/>
        <v>0</v>
      </c>
      <c r="AG404" s="40">
        <f t="shared" si="263"/>
        <v>0</v>
      </c>
      <c r="AH404" s="40">
        <f t="shared" si="264"/>
        <v>0</v>
      </c>
      <c r="AI404" s="11" t="s">
        <v>1271</v>
      </c>
      <c r="AJ404" s="40">
        <f t="shared" si="265"/>
        <v>0</v>
      </c>
      <c r="AK404" s="40">
        <f t="shared" si="266"/>
        <v>0</v>
      </c>
      <c r="AL404" s="40">
        <f t="shared" si="267"/>
        <v>0</v>
      </c>
      <c r="AN404" s="40">
        <v>21</v>
      </c>
      <c r="AO404" s="40">
        <f>I404*0.324068636010095</f>
        <v>0</v>
      </c>
      <c r="AP404" s="40">
        <f>I404*(1-0.324068636010095)</f>
        <v>0</v>
      </c>
      <c r="AQ404" s="17" t="s">
        <v>1260</v>
      </c>
      <c r="AV404" s="40">
        <f t="shared" si="268"/>
        <v>0</v>
      </c>
      <c r="AW404" s="40">
        <f t="shared" si="269"/>
        <v>0</v>
      </c>
      <c r="AX404" s="40">
        <f t="shared" si="270"/>
        <v>0</v>
      </c>
      <c r="AY404" s="17" t="s">
        <v>1093</v>
      </c>
      <c r="AZ404" s="17" t="s">
        <v>151</v>
      </c>
      <c r="BA404" s="11" t="s">
        <v>140</v>
      </c>
      <c r="BC404" s="40">
        <f t="shared" si="271"/>
        <v>0</v>
      </c>
      <c r="BD404" s="40">
        <f t="shared" si="272"/>
        <v>0</v>
      </c>
      <c r="BE404" s="40">
        <v>0</v>
      </c>
      <c r="BF404" s="40">
        <f>404</f>
        <v>404</v>
      </c>
      <c r="BH404" s="40">
        <f t="shared" si="273"/>
        <v>0</v>
      </c>
      <c r="BI404" s="40">
        <f t="shared" si="274"/>
        <v>0</v>
      </c>
      <c r="BJ404" s="40">
        <f t="shared" si="275"/>
        <v>0</v>
      </c>
      <c r="BK404" s="40"/>
      <c r="BL404" s="40">
        <v>85</v>
      </c>
    </row>
    <row r="405" spans="1:64" ht="15" customHeight="1">
      <c r="A405" s="19" t="s">
        <v>1077</v>
      </c>
      <c r="B405" s="59" t="s">
        <v>1257</v>
      </c>
      <c r="C405" s="76" t="s">
        <v>1124</v>
      </c>
      <c r="D405" s="76"/>
      <c r="E405" s="76"/>
      <c r="F405" s="76"/>
      <c r="G405" s="59" t="s">
        <v>312</v>
      </c>
      <c r="H405" s="40">
        <v>6</v>
      </c>
      <c r="I405" s="40">
        <v>0</v>
      </c>
      <c r="J405" s="40">
        <f t="shared" si="254"/>
        <v>0</v>
      </c>
      <c r="K405" s="40">
        <f t="shared" si="255"/>
        <v>0</v>
      </c>
      <c r="L405" s="40">
        <f t="shared" si="256"/>
        <v>0</v>
      </c>
      <c r="M405" s="69" t="s">
        <v>868</v>
      </c>
      <c r="Z405" s="40">
        <f t="shared" si="257"/>
        <v>0</v>
      </c>
      <c r="AB405" s="40">
        <f t="shared" si="258"/>
        <v>0</v>
      </c>
      <c r="AC405" s="40">
        <f t="shared" si="259"/>
        <v>0</v>
      </c>
      <c r="AD405" s="40">
        <f t="shared" si="260"/>
        <v>0</v>
      </c>
      <c r="AE405" s="40">
        <f t="shared" si="261"/>
        <v>0</v>
      </c>
      <c r="AF405" s="40">
        <f t="shared" si="262"/>
        <v>0</v>
      </c>
      <c r="AG405" s="40">
        <f t="shared" si="263"/>
        <v>0</v>
      </c>
      <c r="AH405" s="40">
        <f t="shared" si="264"/>
        <v>0</v>
      </c>
      <c r="AI405" s="11" t="s">
        <v>1271</v>
      </c>
      <c r="AJ405" s="40">
        <f t="shared" si="265"/>
        <v>0</v>
      </c>
      <c r="AK405" s="40">
        <f t="shared" si="266"/>
        <v>0</v>
      </c>
      <c r="AL405" s="40">
        <f t="shared" si="267"/>
        <v>0</v>
      </c>
      <c r="AN405" s="40">
        <v>21</v>
      </c>
      <c r="AO405" s="40">
        <f>I405*1</f>
        <v>0</v>
      </c>
      <c r="AP405" s="40">
        <f>I405*(1-1)</f>
        <v>0</v>
      </c>
      <c r="AQ405" s="17" t="s">
        <v>1260</v>
      </c>
      <c r="AV405" s="40">
        <f t="shared" si="268"/>
        <v>0</v>
      </c>
      <c r="AW405" s="40">
        <f t="shared" si="269"/>
        <v>0</v>
      </c>
      <c r="AX405" s="40">
        <f t="shared" si="270"/>
        <v>0</v>
      </c>
      <c r="AY405" s="17" t="s">
        <v>1093</v>
      </c>
      <c r="AZ405" s="17" t="s">
        <v>151</v>
      </c>
      <c r="BA405" s="11" t="s">
        <v>140</v>
      </c>
      <c r="BC405" s="40">
        <f t="shared" si="271"/>
        <v>0</v>
      </c>
      <c r="BD405" s="40">
        <f t="shared" si="272"/>
        <v>0</v>
      </c>
      <c r="BE405" s="40">
        <v>0</v>
      </c>
      <c r="BF405" s="40">
        <f>405</f>
        <v>405</v>
      </c>
      <c r="BH405" s="40">
        <f t="shared" si="273"/>
        <v>0</v>
      </c>
      <c r="BI405" s="40">
        <f t="shared" si="274"/>
        <v>0</v>
      </c>
      <c r="BJ405" s="40">
        <f t="shared" si="275"/>
        <v>0</v>
      </c>
      <c r="BK405" s="40"/>
      <c r="BL405" s="40">
        <v>85</v>
      </c>
    </row>
    <row r="406" spans="1:64" ht="15" customHeight="1">
      <c r="A406" s="19" t="s">
        <v>1399</v>
      </c>
      <c r="B406" s="59" t="s">
        <v>1218</v>
      </c>
      <c r="C406" s="76" t="s">
        <v>911</v>
      </c>
      <c r="D406" s="76"/>
      <c r="E406" s="76"/>
      <c r="F406" s="76"/>
      <c r="G406" s="59" t="s">
        <v>312</v>
      </c>
      <c r="H406" s="40">
        <v>1</v>
      </c>
      <c r="I406" s="40">
        <v>0</v>
      </c>
      <c r="J406" s="40">
        <f t="shared" si="254"/>
        <v>0</v>
      </c>
      <c r="K406" s="40">
        <f t="shared" si="255"/>
        <v>0</v>
      </c>
      <c r="L406" s="40">
        <f t="shared" si="256"/>
        <v>0</v>
      </c>
      <c r="M406" s="69" t="s">
        <v>868</v>
      </c>
      <c r="Z406" s="40">
        <f t="shared" si="257"/>
        <v>0</v>
      </c>
      <c r="AB406" s="40">
        <f t="shared" si="258"/>
        <v>0</v>
      </c>
      <c r="AC406" s="40">
        <f t="shared" si="259"/>
        <v>0</v>
      </c>
      <c r="AD406" s="40">
        <f t="shared" si="260"/>
        <v>0</v>
      </c>
      <c r="AE406" s="40">
        <f t="shared" si="261"/>
        <v>0</v>
      </c>
      <c r="AF406" s="40">
        <f t="shared" si="262"/>
        <v>0</v>
      </c>
      <c r="AG406" s="40">
        <f t="shared" si="263"/>
        <v>0</v>
      </c>
      <c r="AH406" s="40">
        <f t="shared" si="264"/>
        <v>0</v>
      </c>
      <c r="AI406" s="11" t="s">
        <v>1271</v>
      </c>
      <c r="AJ406" s="40">
        <f t="shared" si="265"/>
        <v>0</v>
      </c>
      <c r="AK406" s="40">
        <f t="shared" si="266"/>
        <v>0</v>
      </c>
      <c r="AL406" s="40">
        <f t="shared" si="267"/>
        <v>0</v>
      </c>
      <c r="AN406" s="40">
        <v>21</v>
      </c>
      <c r="AO406" s="40">
        <f>I406*1</f>
        <v>0</v>
      </c>
      <c r="AP406" s="40">
        <f>I406*(1-1)</f>
        <v>0</v>
      </c>
      <c r="AQ406" s="17" t="s">
        <v>1260</v>
      </c>
      <c r="AV406" s="40">
        <f t="shared" si="268"/>
        <v>0</v>
      </c>
      <c r="AW406" s="40">
        <f t="shared" si="269"/>
        <v>0</v>
      </c>
      <c r="AX406" s="40">
        <f t="shared" si="270"/>
        <v>0</v>
      </c>
      <c r="AY406" s="17" t="s">
        <v>1093</v>
      </c>
      <c r="AZ406" s="17" t="s">
        <v>151</v>
      </c>
      <c r="BA406" s="11" t="s">
        <v>140</v>
      </c>
      <c r="BC406" s="40">
        <f t="shared" si="271"/>
        <v>0</v>
      </c>
      <c r="BD406" s="40">
        <f t="shared" si="272"/>
        <v>0</v>
      </c>
      <c r="BE406" s="40">
        <v>0</v>
      </c>
      <c r="BF406" s="40">
        <f>406</f>
        <v>406</v>
      </c>
      <c r="BH406" s="40">
        <f t="shared" si="273"/>
        <v>0</v>
      </c>
      <c r="BI406" s="40">
        <f t="shared" si="274"/>
        <v>0</v>
      </c>
      <c r="BJ406" s="40">
        <f t="shared" si="275"/>
        <v>0</v>
      </c>
      <c r="BK406" s="40"/>
      <c r="BL406" s="40">
        <v>85</v>
      </c>
    </row>
    <row r="407" spans="1:64" ht="15" customHeight="1">
      <c r="A407" s="19" t="s">
        <v>712</v>
      </c>
      <c r="B407" s="59" t="s">
        <v>613</v>
      </c>
      <c r="C407" s="76" t="s">
        <v>793</v>
      </c>
      <c r="D407" s="76"/>
      <c r="E407" s="76"/>
      <c r="F407" s="76"/>
      <c r="G407" s="59" t="s">
        <v>312</v>
      </c>
      <c r="H407" s="40">
        <v>3</v>
      </c>
      <c r="I407" s="40">
        <v>0</v>
      </c>
      <c r="J407" s="40">
        <f t="shared" si="254"/>
        <v>0</v>
      </c>
      <c r="K407" s="40">
        <f t="shared" si="255"/>
        <v>0</v>
      </c>
      <c r="L407" s="40">
        <f t="shared" si="256"/>
        <v>0</v>
      </c>
      <c r="M407" s="69" t="s">
        <v>868</v>
      </c>
      <c r="Z407" s="40">
        <f t="shared" si="257"/>
        <v>0</v>
      </c>
      <c r="AB407" s="40">
        <f t="shared" si="258"/>
        <v>0</v>
      </c>
      <c r="AC407" s="40">
        <f t="shared" si="259"/>
        <v>0</v>
      </c>
      <c r="AD407" s="40">
        <f t="shared" si="260"/>
        <v>0</v>
      </c>
      <c r="AE407" s="40">
        <f t="shared" si="261"/>
        <v>0</v>
      </c>
      <c r="AF407" s="40">
        <f t="shared" si="262"/>
        <v>0</v>
      </c>
      <c r="AG407" s="40">
        <f t="shared" si="263"/>
        <v>0</v>
      </c>
      <c r="AH407" s="40">
        <f t="shared" si="264"/>
        <v>0</v>
      </c>
      <c r="AI407" s="11" t="s">
        <v>1271</v>
      </c>
      <c r="AJ407" s="40">
        <f t="shared" si="265"/>
        <v>0</v>
      </c>
      <c r="AK407" s="40">
        <f t="shared" si="266"/>
        <v>0</v>
      </c>
      <c r="AL407" s="40">
        <f t="shared" si="267"/>
        <v>0</v>
      </c>
      <c r="AN407" s="40">
        <v>21</v>
      </c>
      <c r="AO407" s="40">
        <f>I407*1</f>
        <v>0</v>
      </c>
      <c r="AP407" s="40">
        <f>I407*(1-1)</f>
        <v>0</v>
      </c>
      <c r="AQ407" s="17" t="s">
        <v>1260</v>
      </c>
      <c r="AV407" s="40">
        <f t="shared" si="268"/>
        <v>0</v>
      </c>
      <c r="AW407" s="40">
        <f t="shared" si="269"/>
        <v>0</v>
      </c>
      <c r="AX407" s="40">
        <f t="shared" si="270"/>
        <v>0</v>
      </c>
      <c r="AY407" s="17" t="s">
        <v>1093</v>
      </c>
      <c r="AZ407" s="17" t="s">
        <v>151</v>
      </c>
      <c r="BA407" s="11" t="s">
        <v>140</v>
      </c>
      <c r="BC407" s="40">
        <f t="shared" si="271"/>
        <v>0</v>
      </c>
      <c r="BD407" s="40">
        <f t="shared" si="272"/>
        <v>0</v>
      </c>
      <c r="BE407" s="40">
        <v>0</v>
      </c>
      <c r="BF407" s="40">
        <f>407</f>
        <v>407</v>
      </c>
      <c r="BH407" s="40">
        <f t="shared" si="273"/>
        <v>0</v>
      </c>
      <c r="BI407" s="40">
        <f t="shared" si="274"/>
        <v>0</v>
      </c>
      <c r="BJ407" s="40">
        <f t="shared" si="275"/>
        <v>0</v>
      </c>
      <c r="BK407" s="40"/>
      <c r="BL407" s="40">
        <v>85</v>
      </c>
    </row>
    <row r="408" spans="1:47" ht="15" customHeight="1">
      <c r="A408" s="24" t="s">
        <v>878</v>
      </c>
      <c r="B408" s="66" t="s">
        <v>63</v>
      </c>
      <c r="C408" s="92" t="s">
        <v>100</v>
      </c>
      <c r="D408" s="92"/>
      <c r="E408" s="92"/>
      <c r="F408" s="92"/>
      <c r="G408" s="3" t="s">
        <v>1172</v>
      </c>
      <c r="H408" s="3" t="s">
        <v>1172</v>
      </c>
      <c r="I408" s="3" t="s">
        <v>1172</v>
      </c>
      <c r="J408" s="63">
        <f>SUM(J409:J414)</f>
        <v>0</v>
      </c>
      <c r="K408" s="63">
        <f>SUM(K409:K414)</f>
        <v>0</v>
      </c>
      <c r="L408" s="63">
        <f>SUM(L409:L414)</f>
        <v>0</v>
      </c>
      <c r="M408" s="4" t="s">
        <v>878</v>
      </c>
      <c r="AI408" s="11" t="s">
        <v>1271</v>
      </c>
      <c r="AS408" s="63">
        <f>SUM(AJ409:AJ414)</f>
        <v>0</v>
      </c>
      <c r="AT408" s="63">
        <f>SUM(AK409:AK414)</f>
        <v>0</v>
      </c>
      <c r="AU408" s="63">
        <f>SUM(AL409:AL414)</f>
        <v>0</v>
      </c>
    </row>
    <row r="409" spans="1:64" ht="15" customHeight="1">
      <c r="A409" s="19" t="s">
        <v>1369</v>
      </c>
      <c r="B409" s="59" t="s">
        <v>841</v>
      </c>
      <c r="C409" s="76" t="s">
        <v>802</v>
      </c>
      <c r="D409" s="76"/>
      <c r="E409" s="76"/>
      <c r="F409" s="76"/>
      <c r="G409" s="59" t="s">
        <v>1041</v>
      </c>
      <c r="H409" s="40">
        <v>439.1</v>
      </c>
      <c r="I409" s="40">
        <v>0</v>
      </c>
      <c r="J409" s="40">
        <f aca="true" t="shared" si="276" ref="J409:J414">H409*AO409</f>
        <v>0</v>
      </c>
      <c r="K409" s="40">
        <f aca="true" t="shared" si="277" ref="K409:K414">H409*AP409</f>
        <v>0</v>
      </c>
      <c r="L409" s="40">
        <f aca="true" t="shared" si="278" ref="L409:L414">H409*I409</f>
        <v>0</v>
      </c>
      <c r="M409" s="69" t="s">
        <v>868</v>
      </c>
      <c r="Z409" s="40">
        <f aca="true" t="shared" si="279" ref="Z409:Z414">IF(AQ409="5",BJ409,0)</f>
        <v>0</v>
      </c>
      <c r="AB409" s="40">
        <f aca="true" t="shared" si="280" ref="AB409:AB414">IF(AQ409="1",BH409,0)</f>
        <v>0</v>
      </c>
      <c r="AC409" s="40">
        <f aca="true" t="shared" si="281" ref="AC409:AC414">IF(AQ409="1",BI409,0)</f>
        <v>0</v>
      </c>
      <c r="AD409" s="40">
        <f aca="true" t="shared" si="282" ref="AD409:AD414">IF(AQ409="7",BH409,0)</f>
        <v>0</v>
      </c>
      <c r="AE409" s="40">
        <f aca="true" t="shared" si="283" ref="AE409:AE414">IF(AQ409="7",BI409,0)</f>
        <v>0</v>
      </c>
      <c r="AF409" s="40">
        <f aca="true" t="shared" si="284" ref="AF409:AF414">IF(AQ409="2",BH409,0)</f>
        <v>0</v>
      </c>
      <c r="AG409" s="40">
        <f aca="true" t="shared" si="285" ref="AG409:AG414">IF(AQ409="2",BI409,0)</f>
        <v>0</v>
      </c>
      <c r="AH409" s="40">
        <f aca="true" t="shared" si="286" ref="AH409:AH414">IF(AQ409="0",BJ409,0)</f>
        <v>0</v>
      </c>
      <c r="AI409" s="11" t="s">
        <v>1271</v>
      </c>
      <c r="AJ409" s="40">
        <f aca="true" t="shared" si="287" ref="AJ409:AJ414">IF(AN409=0,L409,0)</f>
        <v>0</v>
      </c>
      <c r="AK409" s="40">
        <f aca="true" t="shared" si="288" ref="AK409:AK414">IF(AN409=15,L409,0)</f>
        <v>0</v>
      </c>
      <c r="AL409" s="40">
        <f aca="true" t="shared" si="289" ref="AL409:AL414">IF(AN409=21,L409,0)</f>
        <v>0</v>
      </c>
      <c r="AN409" s="40">
        <v>21</v>
      </c>
      <c r="AO409" s="40">
        <f>I409*0</f>
        <v>0</v>
      </c>
      <c r="AP409" s="40">
        <f>I409*(1-0)</f>
        <v>0</v>
      </c>
      <c r="AQ409" s="17" t="s">
        <v>1260</v>
      </c>
      <c r="AV409" s="40">
        <f aca="true" t="shared" si="290" ref="AV409:AV414">AW409+AX409</f>
        <v>0</v>
      </c>
      <c r="AW409" s="40">
        <f aca="true" t="shared" si="291" ref="AW409:AW414">H409*AO409</f>
        <v>0</v>
      </c>
      <c r="AX409" s="40">
        <f aca="true" t="shared" si="292" ref="AX409:AX414">H409*AP409</f>
        <v>0</v>
      </c>
      <c r="AY409" s="17" t="s">
        <v>88</v>
      </c>
      <c r="AZ409" s="17" t="s">
        <v>151</v>
      </c>
      <c r="BA409" s="11" t="s">
        <v>140</v>
      </c>
      <c r="BC409" s="40">
        <f aca="true" t="shared" si="293" ref="BC409:BC414">AW409+AX409</f>
        <v>0</v>
      </c>
      <c r="BD409" s="40">
        <f aca="true" t="shared" si="294" ref="BD409:BD414">I409/(100-BE409)*100</f>
        <v>0</v>
      </c>
      <c r="BE409" s="40">
        <v>0</v>
      </c>
      <c r="BF409" s="40">
        <f>409</f>
        <v>409</v>
      </c>
      <c r="BH409" s="40">
        <f aca="true" t="shared" si="295" ref="BH409:BH414">H409*AO409</f>
        <v>0</v>
      </c>
      <c r="BI409" s="40">
        <f aca="true" t="shared" si="296" ref="BI409:BI414">H409*AP409</f>
        <v>0</v>
      </c>
      <c r="BJ409" s="40">
        <f aca="true" t="shared" si="297" ref="BJ409:BJ414">H409*I409</f>
        <v>0</v>
      </c>
      <c r="BK409" s="40"/>
      <c r="BL409" s="40">
        <v>87</v>
      </c>
    </row>
    <row r="410" spans="1:64" ht="15" customHeight="1">
      <c r="A410" s="19" t="s">
        <v>262</v>
      </c>
      <c r="B410" s="59" t="s">
        <v>1202</v>
      </c>
      <c r="C410" s="76" t="s">
        <v>1378</v>
      </c>
      <c r="D410" s="76"/>
      <c r="E410" s="76"/>
      <c r="F410" s="76"/>
      <c r="G410" s="59" t="s">
        <v>1041</v>
      </c>
      <c r="H410" s="40">
        <v>443.491</v>
      </c>
      <c r="I410" s="40">
        <v>0</v>
      </c>
      <c r="J410" s="40">
        <f t="shared" si="276"/>
        <v>0</v>
      </c>
      <c r="K410" s="40">
        <f t="shared" si="277"/>
        <v>0</v>
      </c>
      <c r="L410" s="40">
        <f t="shared" si="278"/>
        <v>0</v>
      </c>
      <c r="M410" s="69" t="s">
        <v>868</v>
      </c>
      <c r="Z410" s="40">
        <f t="shared" si="279"/>
        <v>0</v>
      </c>
      <c r="AB410" s="40">
        <f t="shared" si="280"/>
        <v>0</v>
      </c>
      <c r="AC410" s="40">
        <f t="shared" si="281"/>
        <v>0</v>
      </c>
      <c r="AD410" s="40">
        <f t="shared" si="282"/>
        <v>0</v>
      </c>
      <c r="AE410" s="40">
        <f t="shared" si="283"/>
        <v>0</v>
      </c>
      <c r="AF410" s="40">
        <f t="shared" si="284"/>
        <v>0</v>
      </c>
      <c r="AG410" s="40">
        <f t="shared" si="285"/>
        <v>0</v>
      </c>
      <c r="AH410" s="40">
        <f t="shared" si="286"/>
        <v>0</v>
      </c>
      <c r="AI410" s="11" t="s">
        <v>1271</v>
      </c>
      <c r="AJ410" s="40">
        <f t="shared" si="287"/>
        <v>0</v>
      </c>
      <c r="AK410" s="40">
        <f t="shared" si="288"/>
        <v>0</v>
      </c>
      <c r="AL410" s="40">
        <f t="shared" si="289"/>
        <v>0</v>
      </c>
      <c r="AN410" s="40">
        <v>21</v>
      </c>
      <c r="AO410" s="40">
        <f>I410*1</f>
        <v>0</v>
      </c>
      <c r="AP410" s="40">
        <f>I410*(1-1)</f>
        <v>0</v>
      </c>
      <c r="AQ410" s="17" t="s">
        <v>1260</v>
      </c>
      <c r="AV410" s="40">
        <f t="shared" si="290"/>
        <v>0</v>
      </c>
      <c r="AW410" s="40">
        <f t="shared" si="291"/>
        <v>0</v>
      </c>
      <c r="AX410" s="40">
        <f t="shared" si="292"/>
        <v>0</v>
      </c>
      <c r="AY410" s="17" t="s">
        <v>88</v>
      </c>
      <c r="AZ410" s="17" t="s">
        <v>151</v>
      </c>
      <c r="BA410" s="11" t="s">
        <v>140</v>
      </c>
      <c r="BC410" s="40">
        <f t="shared" si="293"/>
        <v>0</v>
      </c>
      <c r="BD410" s="40">
        <f t="shared" si="294"/>
        <v>0</v>
      </c>
      <c r="BE410" s="40">
        <v>0</v>
      </c>
      <c r="BF410" s="40">
        <f>410</f>
        <v>410</v>
      </c>
      <c r="BH410" s="40">
        <f t="shared" si="295"/>
        <v>0</v>
      </c>
      <c r="BI410" s="40">
        <f t="shared" si="296"/>
        <v>0</v>
      </c>
      <c r="BJ410" s="40">
        <f t="shared" si="297"/>
        <v>0</v>
      </c>
      <c r="BK410" s="40"/>
      <c r="BL410" s="40">
        <v>87</v>
      </c>
    </row>
    <row r="411" spans="1:64" ht="15" customHeight="1">
      <c r="A411" s="19" t="s">
        <v>757</v>
      </c>
      <c r="B411" s="59" t="s">
        <v>352</v>
      </c>
      <c r="C411" s="76" t="s">
        <v>191</v>
      </c>
      <c r="D411" s="76"/>
      <c r="E411" s="76"/>
      <c r="F411" s="76"/>
      <c r="G411" s="59" t="s">
        <v>312</v>
      </c>
      <c r="H411" s="40">
        <v>12</v>
      </c>
      <c r="I411" s="40">
        <v>0</v>
      </c>
      <c r="J411" s="40">
        <f t="shared" si="276"/>
        <v>0</v>
      </c>
      <c r="K411" s="40">
        <f t="shared" si="277"/>
        <v>0</v>
      </c>
      <c r="L411" s="40">
        <f t="shared" si="278"/>
        <v>0</v>
      </c>
      <c r="M411" s="69" t="s">
        <v>868</v>
      </c>
      <c r="Z411" s="40">
        <f t="shared" si="279"/>
        <v>0</v>
      </c>
      <c r="AB411" s="40">
        <f t="shared" si="280"/>
        <v>0</v>
      </c>
      <c r="AC411" s="40">
        <f t="shared" si="281"/>
        <v>0</v>
      </c>
      <c r="AD411" s="40">
        <f t="shared" si="282"/>
        <v>0</v>
      </c>
      <c r="AE411" s="40">
        <f t="shared" si="283"/>
        <v>0</v>
      </c>
      <c r="AF411" s="40">
        <f t="shared" si="284"/>
        <v>0</v>
      </c>
      <c r="AG411" s="40">
        <f t="shared" si="285"/>
        <v>0</v>
      </c>
      <c r="AH411" s="40">
        <f t="shared" si="286"/>
        <v>0</v>
      </c>
      <c r="AI411" s="11" t="s">
        <v>1271</v>
      </c>
      <c r="AJ411" s="40">
        <f t="shared" si="287"/>
        <v>0</v>
      </c>
      <c r="AK411" s="40">
        <f t="shared" si="288"/>
        <v>0</v>
      </c>
      <c r="AL411" s="40">
        <f t="shared" si="289"/>
        <v>0</v>
      </c>
      <c r="AN411" s="40">
        <v>21</v>
      </c>
      <c r="AO411" s="40">
        <f>I411*0</f>
        <v>0</v>
      </c>
      <c r="AP411" s="40">
        <f>I411*(1-0)</f>
        <v>0</v>
      </c>
      <c r="AQ411" s="17" t="s">
        <v>1260</v>
      </c>
      <c r="AV411" s="40">
        <f t="shared" si="290"/>
        <v>0</v>
      </c>
      <c r="AW411" s="40">
        <f t="shared" si="291"/>
        <v>0</v>
      </c>
      <c r="AX411" s="40">
        <f t="shared" si="292"/>
        <v>0</v>
      </c>
      <c r="AY411" s="17" t="s">
        <v>88</v>
      </c>
      <c r="AZ411" s="17" t="s">
        <v>151</v>
      </c>
      <c r="BA411" s="11" t="s">
        <v>140</v>
      </c>
      <c r="BC411" s="40">
        <f t="shared" si="293"/>
        <v>0</v>
      </c>
      <c r="BD411" s="40">
        <f t="shared" si="294"/>
        <v>0</v>
      </c>
      <c r="BE411" s="40">
        <v>0</v>
      </c>
      <c r="BF411" s="40">
        <f>411</f>
        <v>411</v>
      </c>
      <c r="BH411" s="40">
        <f t="shared" si="295"/>
        <v>0</v>
      </c>
      <c r="BI411" s="40">
        <f t="shared" si="296"/>
        <v>0</v>
      </c>
      <c r="BJ411" s="40">
        <f t="shared" si="297"/>
        <v>0</v>
      </c>
      <c r="BK411" s="40"/>
      <c r="BL411" s="40">
        <v>87</v>
      </c>
    </row>
    <row r="412" spans="1:64" ht="15" customHeight="1">
      <c r="A412" s="19" t="s">
        <v>950</v>
      </c>
      <c r="B412" s="59" t="s">
        <v>171</v>
      </c>
      <c r="C412" s="76" t="s">
        <v>595</v>
      </c>
      <c r="D412" s="76"/>
      <c r="E412" s="76"/>
      <c r="F412" s="76"/>
      <c r="G412" s="59" t="s">
        <v>312</v>
      </c>
      <c r="H412" s="40">
        <v>2</v>
      </c>
      <c r="I412" s="40">
        <v>0</v>
      </c>
      <c r="J412" s="40">
        <f t="shared" si="276"/>
        <v>0</v>
      </c>
      <c r="K412" s="40">
        <f t="shared" si="277"/>
        <v>0</v>
      </c>
      <c r="L412" s="40">
        <f t="shared" si="278"/>
        <v>0</v>
      </c>
      <c r="M412" s="69" t="s">
        <v>868</v>
      </c>
      <c r="Z412" s="40">
        <f t="shared" si="279"/>
        <v>0</v>
      </c>
      <c r="AB412" s="40">
        <f t="shared" si="280"/>
        <v>0</v>
      </c>
      <c r="AC412" s="40">
        <f t="shared" si="281"/>
        <v>0</v>
      </c>
      <c r="AD412" s="40">
        <f t="shared" si="282"/>
        <v>0</v>
      </c>
      <c r="AE412" s="40">
        <f t="shared" si="283"/>
        <v>0</v>
      </c>
      <c r="AF412" s="40">
        <f t="shared" si="284"/>
        <v>0</v>
      </c>
      <c r="AG412" s="40">
        <f t="shared" si="285"/>
        <v>0</v>
      </c>
      <c r="AH412" s="40">
        <f t="shared" si="286"/>
        <v>0</v>
      </c>
      <c r="AI412" s="11" t="s">
        <v>1271</v>
      </c>
      <c r="AJ412" s="40">
        <f t="shared" si="287"/>
        <v>0</v>
      </c>
      <c r="AK412" s="40">
        <f t="shared" si="288"/>
        <v>0</v>
      </c>
      <c r="AL412" s="40">
        <f t="shared" si="289"/>
        <v>0</v>
      </c>
      <c r="AN412" s="40">
        <v>21</v>
      </c>
      <c r="AO412" s="40">
        <f>I412*1</f>
        <v>0</v>
      </c>
      <c r="AP412" s="40">
        <f>I412*(1-1)</f>
        <v>0</v>
      </c>
      <c r="AQ412" s="17" t="s">
        <v>1260</v>
      </c>
      <c r="AV412" s="40">
        <f t="shared" si="290"/>
        <v>0</v>
      </c>
      <c r="AW412" s="40">
        <f t="shared" si="291"/>
        <v>0</v>
      </c>
      <c r="AX412" s="40">
        <f t="shared" si="292"/>
        <v>0</v>
      </c>
      <c r="AY412" s="17" t="s">
        <v>88</v>
      </c>
      <c r="AZ412" s="17" t="s">
        <v>151</v>
      </c>
      <c r="BA412" s="11" t="s">
        <v>140</v>
      </c>
      <c r="BC412" s="40">
        <f t="shared" si="293"/>
        <v>0</v>
      </c>
      <c r="BD412" s="40">
        <f t="shared" si="294"/>
        <v>0</v>
      </c>
      <c r="BE412" s="40">
        <v>0</v>
      </c>
      <c r="BF412" s="40">
        <f>412</f>
        <v>412</v>
      </c>
      <c r="BH412" s="40">
        <f t="shared" si="295"/>
        <v>0</v>
      </c>
      <c r="BI412" s="40">
        <f t="shared" si="296"/>
        <v>0</v>
      </c>
      <c r="BJ412" s="40">
        <f t="shared" si="297"/>
        <v>0</v>
      </c>
      <c r="BK412" s="40"/>
      <c r="BL412" s="40">
        <v>87</v>
      </c>
    </row>
    <row r="413" spans="1:64" ht="15" customHeight="1">
      <c r="A413" s="19" t="s">
        <v>215</v>
      </c>
      <c r="B413" s="59" t="s">
        <v>810</v>
      </c>
      <c r="C413" s="76" t="s">
        <v>697</v>
      </c>
      <c r="D413" s="76"/>
      <c r="E413" s="76"/>
      <c r="F413" s="76"/>
      <c r="G413" s="59" t="s">
        <v>312</v>
      </c>
      <c r="H413" s="40">
        <v>2</v>
      </c>
      <c r="I413" s="40">
        <v>0</v>
      </c>
      <c r="J413" s="40">
        <f t="shared" si="276"/>
        <v>0</v>
      </c>
      <c r="K413" s="40">
        <f t="shared" si="277"/>
        <v>0</v>
      </c>
      <c r="L413" s="40">
        <f t="shared" si="278"/>
        <v>0</v>
      </c>
      <c r="M413" s="69" t="s">
        <v>868</v>
      </c>
      <c r="Z413" s="40">
        <f t="shared" si="279"/>
        <v>0</v>
      </c>
      <c r="AB413" s="40">
        <f t="shared" si="280"/>
        <v>0</v>
      </c>
      <c r="AC413" s="40">
        <f t="shared" si="281"/>
        <v>0</v>
      </c>
      <c r="AD413" s="40">
        <f t="shared" si="282"/>
        <v>0</v>
      </c>
      <c r="AE413" s="40">
        <f t="shared" si="283"/>
        <v>0</v>
      </c>
      <c r="AF413" s="40">
        <f t="shared" si="284"/>
        <v>0</v>
      </c>
      <c r="AG413" s="40">
        <f t="shared" si="285"/>
        <v>0</v>
      </c>
      <c r="AH413" s="40">
        <f t="shared" si="286"/>
        <v>0</v>
      </c>
      <c r="AI413" s="11" t="s">
        <v>1271</v>
      </c>
      <c r="AJ413" s="40">
        <f t="shared" si="287"/>
        <v>0</v>
      </c>
      <c r="AK413" s="40">
        <f t="shared" si="288"/>
        <v>0</v>
      </c>
      <c r="AL413" s="40">
        <f t="shared" si="289"/>
        <v>0</v>
      </c>
      <c r="AN413" s="40">
        <v>21</v>
      </c>
      <c r="AO413" s="40">
        <f>I413*1</f>
        <v>0</v>
      </c>
      <c r="AP413" s="40">
        <f>I413*(1-1)</f>
        <v>0</v>
      </c>
      <c r="AQ413" s="17" t="s">
        <v>1260</v>
      </c>
      <c r="AV413" s="40">
        <f t="shared" si="290"/>
        <v>0</v>
      </c>
      <c r="AW413" s="40">
        <f t="shared" si="291"/>
        <v>0</v>
      </c>
      <c r="AX413" s="40">
        <f t="shared" si="292"/>
        <v>0</v>
      </c>
      <c r="AY413" s="17" t="s">
        <v>88</v>
      </c>
      <c r="AZ413" s="17" t="s">
        <v>151</v>
      </c>
      <c r="BA413" s="11" t="s">
        <v>140</v>
      </c>
      <c r="BC413" s="40">
        <f t="shared" si="293"/>
        <v>0</v>
      </c>
      <c r="BD413" s="40">
        <f t="shared" si="294"/>
        <v>0</v>
      </c>
      <c r="BE413" s="40">
        <v>0</v>
      </c>
      <c r="BF413" s="40">
        <f>413</f>
        <v>413</v>
      </c>
      <c r="BH413" s="40">
        <f t="shared" si="295"/>
        <v>0</v>
      </c>
      <c r="BI413" s="40">
        <f t="shared" si="296"/>
        <v>0</v>
      </c>
      <c r="BJ413" s="40">
        <f t="shared" si="297"/>
        <v>0</v>
      </c>
      <c r="BK413" s="40"/>
      <c r="BL413" s="40">
        <v>87</v>
      </c>
    </row>
    <row r="414" spans="1:64" ht="15" customHeight="1">
      <c r="A414" s="19" t="s">
        <v>1094</v>
      </c>
      <c r="B414" s="59" t="s">
        <v>248</v>
      </c>
      <c r="C414" s="76" t="s">
        <v>536</v>
      </c>
      <c r="D414" s="76"/>
      <c r="E414" s="76"/>
      <c r="F414" s="76"/>
      <c r="G414" s="59" t="s">
        <v>312</v>
      </c>
      <c r="H414" s="40">
        <v>2</v>
      </c>
      <c r="I414" s="40">
        <v>0</v>
      </c>
      <c r="J414" s="40">
        <f t="shared" si="276"/>
        <v>0</v>
      </c>
      <c r="K414" s="40">
        <f t="shared" si="277"/>
        <v>0</v>
      </c>
      <c r="L414" s="40">
        <f t="shared" si="278"/>
        <v>0</v>
      </c>
      <c r="M414" s="69" t="s">
        <v>868</v>
      </c>
      <c r="Z414" s="40">
        <f t="shared" si="279"/>
        <v>0</v>
      </c>
      <c r="AB414" s="40">
        <f t="shared" si="280"/>
        <v>0</v>
      </c>
      <c r="AC414" s="40">
        <f t="shared" si="281"/>
        <v>0</v>
      </c>
      <c r="AD414" s="40">
        <f t="shared" si="282"/>
        <v>0</v>
      </c>
      <c r="AE414" s="40">
        <f t="shared" si="283"/>
        <v>0</v>
      </c>
      <c r="AF414" s="40">
        <f t="shared" si="284"/>
        <v>0</v>
      </c>
      <c r="AG414" s="40">
        <f t="shared" si="285"/>
        <v>0</v>
      </c>
      <c r="AH414" s="40">
        <f t="shared" si="286"/>
        <v>0</v>
      </c>
      <c r="AI414" s="11" t="s">
        <v>1271</v>
      </c>
      <c r="AJ414" s="40">
        <f t="shared" si="287"/>
        <v>0</v>
      </c>
      <c r="AK414" s="40">
        <f t="shared" si="288"/>
        <v>0</v>
      </c>
      <c r="AL414" s="40">
        <f t="shared" si="289"/>
        <v>0</v>
      </c>
      <c r="AN414" s="40">
        <v>21</v>
      </c>
      <c r="AO414" s="40">
        <f>I414*1</f>
        <v>0</v>
      </c>
      <c r="AP414" s="40">
        <f>I414*(1-1)</f>
        <v>0</v>
      </c>
      <c r="AQ414" s="17" t="s">
        <v>1260</v>
      </c>
      <c r="AV414" s="40">
        <f t="shared" si="290"/>
        <v>0</v>
      </c>
      <c r="AW414" s="40">
        <f t="shared" si="291"/>
        <v>0</v>
      </c>
      <c r="AX414" s="40">
        <f t="shared" si="292"/>
        <v>0</v>
      </c>
      <c r="AY414" s="17" t="s">
        <v>88</v>
      </c>
      <c r="AZ414" s="17" t="s">
        <v>151</v>
      </c>
      <c r="BA414" s="11" t="s">
        <v>140</v>
      </c>
      <c r="BC414" s="40">
        <f t="shared" si="293"/>
        <v>0</v>
      </c>
      <c r="BD414" s="40">
        <f t="shared" si="294"/>
        <v>0</v>
      </c>
      <c r="BE414" s="40">
        <v>0</v>
      </c>
      <c r="BF414" s="40">
        <f>414</f>
        <v>414</v>
      </c>
      <c r="BH414" s="40">
        <f t="shared" si="295"/>
        <v>0</v>
      </c>
      <c r="BI414" s="40">
        <f t="shared" si="296"/>
        <v>0</v>
      </c>
      <c r="BJ414" s="40">
        <f t="shared" si="297"/>
        <v>0</v>
      </c>
      <c r="BK414" s="40"/>
      <c r="BL414" s="40">
        <v>87</v>
      </c>
    </row>
    <row r="415" spans="1:47" ht="15" customHeight="1">
      <c r="A415" s="24" t="s">
        <v>878</v>
      </c>
      <c r="B415" s="66" t="s">
        <v>1338</v>
      </c>
      <c r="C415" s="92" t="s">
        <v>823</v>
      </c>
      <c r="D415" s="92"/>
      <c r="E415" s="92"/>
      <c r="F415" s="92"/>
      <c r="G415" s="3" t="s">
        <v>1172</v>
      </c>
      <c r="H415" s="3" t="s">
        <v>1172</v>
      </c>
      <c r="I415" s="3" t="s">
        <v>1172</v>
      </c>
      <c r="J415" s="63">
        <f>SUM(J416:J434)</f>
        <v>0</v>
      </c>
      <c r="K415" s="63">
        <f>SUM(K416:K434)</f>
        <v>0</v>
      </c>
      <c r="L415" s="63">
        <f>SUM(L416:L434)</f>
        <v>0</v>
      </c>
      <c r="M415" s="4" t="s">
        <v>878</v>
      </c>
      <c r="AI415" s="11" t="s">
        <v>1271</v>
      </c>
      <c r="AS415" s="63">
        <f>SUM(AJ416:AJ434)</f>
        <v>0</v>
      </c>
      <c r="AT415" s="63">
        <f>SUM(AK416:AK434)</f>
        <v>0</v>
      </c>
      <c r="AU415" s="63">
        <f>SUM(AL416:AL434)</f>
        <v>0</v>
      </c>
    </row>
    <row r="416" spans="1:64" ht="15" customHeight="1">
      <c r="A416" s="19" t="s">
        <v>882</v>
      </c>
      <c r="B416" s="59" t="s">
        <v>1347</v>
      </c>
      <c r="C416" s="76" t="s">
        <v>1253</v>
      </c>
      <c r="D416" s="76"/>
      <c r="E416" s="76"/>
      <c r="F416" s="76"/>
      <c r="G416" s="59" t="s">
        <v>1041</v>
      </c>
      <c r="H416" s="40">
        <v>439.1</v>
      </c>
      <c r="I416" s="40">
        <v>0</v>
      </c>
      <c r="J416" s="40">
        <f aca="true" t="shared" si="298" ref="J416:J434">H416*AO416</f>
        <v>0</v>
      </c>
      <c r="K416" s="40">
        <f aca="true" t="shared" si="299" ref="K416:K434">H416*AP416</f>
        <v>0</v>
      </c>
      <c r="L416" s="40">
        <f aca="true" t="shared" si="300" ref="L416:L434">H416*I416</f>
        <v>0</v>
      </c>
      <c r="M416" s="69" t="s">
        <v>868</v>
      </c>
      <c r="Z416" s="40">
        <f aca="true" t="shared" si="301" ref="Z416:Z434">IF(AQ416="5",BJ416,0)</f>
        <v>0</v>
      </c>
      <c r="AB416" s="40">
        <f aca="true" t="shared" si="302" ref="AB416:AB434">IF(AQ416="1",BH416,0)</f>
        <v>0</v>
      </c>
      <c r="AC416" s="40">
        <f aca="true" t="shared" si="303" ref="AC416:AC434">IF(AQ416="1",BI416,0)</f>
        <v>0</v>
      </c>
      <c r="AD416" s="40">
        <f aca="true" t="shared" si="304" ref="AD416:AD434">IF(AQ416="7",BH416,0)</f>
        <v>0</v>
      </c>
      <c r="AE416" s="40">
        <f aca="true" t="shared" si="305" ref="AE416:AE434">IF(AQ416="7",BI416,0)</f>
        <v>0</v>
      </c>
      <c r="AF416" s="40">
        <f aca="true" t="shared" si="306" ref="AF416:AF434">IF(AQ416="2",BH416,0)</f>
        <v>0</v>
      </c>
      <c r="AG416" s="40">
        <f aca="true" t="shared" si="307" ref="AG416:AG434">IF(AQ416="2",BI416,0)</f>
        <v>0</v>
      </c>
      <c r="AH416" s="40">
        <f aca="true" t="shared" si="308" ref="AH416:AH434">IF(AQ416="0",BJ416,0)</f>
        <v>0</v>
      </c>
      <c r="AI416" s="11" t="s">
        <v>1271</v>
      </c>
      <c r="AJ416" s="40">
        <f aca="true" t="shared" si="309" ref="AJ416:AJ434">IF(AN416=0,L416,0)</f>
        <v>0</v>
      </c>
      <c r="AK416" s="40">
        <f aca="true" t="shared" si="310" ref="AK416:AK434">IF(AN416=15,L416,0)</f>
        <v>0</v>
      </c>
      <c r="AL416" s="40">
        <f aca="true" t="shared" si="311" ref="AL416:AL434">IF(AN416=21,L416,0)</f>
        <v>0</v>
      </c>
      <c r="AN416" s="40">
        <v>21</v>
      </c>
      <c r="AO416" s="40">
        <f>I416*0.0245590340456546</f>
        <v>0</v>
      </c>
      <c r="AP416" s="40">
        <f>I416*(1-0.0245590340456546)</f>
        <v>0</v>
      </c>
      <c r="AQ416" s="17" t="s">
        <v>1260</v>
      </c>
      <c r="AV416" s="40">
        <f aca="true" t="shared" si="312" ref="AV416:AV434">AW416+AX416</f>
        <v>0</v>
      </c>
      <c r="AW416" s="40">
        <f aca="true" t="shared" si="313" ref="AW416:AW434">H416*AO416</f>
        <v>0</v>
      </c>
      <c r="AX416" s="40">
        <f aca="true" t="shared" si="314" ref="AX416:AX434">H416*AP416</f>
        <v>0</v>
      </c>
      <c r="AY416" s="17" t="s">
        <v>106</v>
      </c>
      <c r="AZ416" s="17" t="s">
        <v>151</v>
      </c>
      <c r="BA416" s="11" t="s">
        <v>140</v>
      </c>
      <c r="BC416" s="40">
        <f aca="true" t="shared" si="315" ref="BC416:BC434">AW416+AX416</f>
        <v>0</v>
      </c>
      <c r="BD416" s="40">
        <f aca="true" t="shared" si="316" ref="BD416:BD434">I416/(100-BE416)*100</f>
        <v>0</v>
      </c>
      <c r="BE416" s="40">
        <v>0</v>
      </c>
      <c r="BF416" s="40">
        <f>416</f>
        <v>416</v>
      </c>
      <c r="BH416" s="40">
        <f aca="true" t="shared" si="317" ref="BH416:BH434">H416*AO416</f>
        <v>0</v>
      </c>
      <c r="BI416" s="40">
        <f aca="true" t="shared" si="318" ref="BI416:BI434">H416*AP416</f>
        <v>0</v>
      </c>
      <c r="BJ416" s="40">
        <f aca="true" t="shared" si="319" ref="BJ416:BJ434">H416*I416</f>
        <v>0</v>
      </c>
      <c r="BK416" s="40"/>
      <c r="BL416" s="40">
        <v>89</v>
      </c>
    </row>
    <row r="417" spans="1:64" ht="15" customHeight="1">
      <c r="A417" s="19" t="s">
        <v>347</v>
      </c>
      <c r="B417" s="59" t="s">
        <v>806</v>
      </c>
      <c r="C417" s="76" t="s">
        <v>634</v>
      </c>
      <c r="D417" s="76"/>
      <c r="E417" s="76"/>
      <c r="F417" s="76"/>
      <c r="G417" s="59" t="s">
        <v>1041</v>
      </c>
      <c r="H417" s="40">
        <v>439.1</v>
      </c>
      <c r="I417" s="40">
        <v>0</v>
      </c>
      <c r="J417" s="40">
        <f t="shared" si="298"/>
        <v>0</v>
      </c>
      <c r="K417" s="40">
        <f t="shared" si="299"/>
        <v>0</v>
      </c>
      <c r="L417" s="40">
        <f t="shared" si="300"/>
        <v>0</v>
      </c>
      <c r="M417" s="69" t="s">
        <v>868</v>
      </c>
      <c r="Z417" s="40">
        <f t="shared" si="301"/>
        <v>0</v>
      </c>
      <c r="AB417" s="40">
        <f t="shared" si="302"/>
        <v>0</v>
      </c>
      <c r="AC417" s="40">
        <f t="shared" si="303"/>
        <v>0</v>
      </c>
      <c r="AD417" s="40">
        <f t="shared" si="304"/>
        <v>0</v>
      </c>
      <c r="AE417" s="40">
        <f t="shared" si="305"/>
        <v>0</v>
      </c>
      <c r="AF417" s="40">
        <f t="shared" si="306"/>
        <v>0</v>
      </c>
      <c r="AG417" s="40">
        <f t="shared" si="307"/>
        <v>0</v>
      </c>
      <c r="AH417" s="40">
        <f t="shared" si="308"/>
        <v>0</v>
      </c>
      <c r="AI417" s="11" t="s">
        <v>1271</v>
      </c>
      <c r="AJ417" s="40">
        <f t="shared" si="309"/>
        <v>0</v>
      </c>
      <c r="AK417" s="40">
        <f t="shared" si="310"/>
        <v>0</v>
      </c>
      <c r="AL417" s="40">
        <f t="shared" si="311"/>
        <v>0</v>
      </c>
      <c r="AN417" s="40">
        <v>21</v>
      </c>
      <c r="AO417" s="40">
        <f>I417*0.0295666234372377</f>
        <v>0</v>
      </c>
      <c r="AP417" s="40">
        <f>I417*(1-0.0295666234372377)</f>
        <v>0</v>
      </c>
      <c r="AQ417" s="17" t="s">
        <v>1260</v>
      </c>
      <c r="AV417" s="40">
        <f t="shared" si="312"/>
        <v>0</v>
      </c>
      <c r="AW417" s="40">
        <f t="shared" si="313"/>
        <v>0</v>
      </c>
      <c r="AX417" s="40">
        <f t="shared" si="314"/>
        <v>0</v>
      </c>
      <c r="AY417" s="17" t="s">
        <v>106</v>
      </c>
      <c r="AZ417" s="17" t="s">
        <v>151</v>
      </c>
      <c r="BA417" s="11" t="s">
        <v>140</v>
      </c>
      <c r="BC417" s="40">
        <f t="shared" si="315"/>
        <v>0</v>
      </c>
      <c r="BD417" s="40">
        <f t="shared" si="316"/>
        <v>0</v>
      </c>
      <c r="BE417" s="40">
        <v>0</v>
      </c>
      <c r="BF417" s="40">
        <f>417</f>
        <v>417</v>
      </c>
      <c r="BH417" s="40">
        <f t="shared" si="317"/>
        <v>0</v>
      </c>
      <c r="BI417" s="40">
        <f t="shared" si="318"/>
        <v>0</v>
      </c>
      <c r="BJ417" s="40">
        <f t="shared" si="319"/>
        <v>0</v>
      </c>
      <c r="BK417" s="40"/>
      <c r="BL417" s="40">
        <v>89</v>
      </c>
    </row>
    <row r="418" spans="1:64" ht="15" customHeight="1">
      <c r="A418" s="19" t="s">
        <v>1161</v>
      </c>
      <c r="B418" s="59" t="s">
        <v>239</v>
      </c>
      <c r="C418" s="76" t="s">
        <v>1344</v>
      </c>
      <c r="D418" s="76"/>
      <c r="E418" s="76"/>
      <c r="F418" s="76"/>
      <c r="G418" s="59" t="s">
        <v>1041</v>
      </c>
      <c r="H418" s="40">
        <v>478.61</v>
      </c>
      <c r="I418" s="40">
        <v>0</v>
      </c>
      <c r="J418" s="40">
        <f t="shared" si="298"/>
        <v>0</v>
      </c>
      <c r="K418" s="40">
        <f t="shared" si="299"/>
        <v>0</v>
      </c>
      <c r="L418" s="40">
        <f t="shared" si="300"/>
        <v>0</v>
      </c>
      <c r="M418" s="69" t="s">
        <v>868</v>
      </c>
      <c r="Z418" s="40">
        <f t="shared" si="301"/>
        <v>0</v>
      </c>
      <c r="AB418" s="40">
        <f t="shared" si="302"/>
        <v>0</v>
      </c>
      <c r="AC418" s="40">
        <f t="shared" si="303"/>
        <v>0</v>
      </c>
      <c r="AD418" s="40">
        <f t="shared" si="304"/>
        <v>0</v>
      </c>
      <c r="AE418" s="40">
        <f t="shared" si="305"/>
        <v>0</v>
      </c>
      <c r="AF418" s="40">
        <f t="shared" si="306"/>
        <v>0</v>
      </c>
      <c r="AG418" s="40">
        <f t="shared" si="307"/>
        <v>0</v>
      </c>
      <c r="AH418" s="40">
        <f t="shared" si="308"/>
        <v>0</v>
      </c>
      <c r="AI418" s="11" t="s">
        <v>1271</v>
      </c>
      <c r="AJ418" s="40">
        <f t="shared" si="309"/>
        <v>0</v>
      </c>
      <c r="AK418" s="40">
        <f t="shared" si="310"/>
        <v>0</v>
      </c>
      <c r="AL418" s="40">
        <f t="shared" si="311"/>
        <v>0</v>
      </c>
      <c r="AN418" s="40">
        <v>21</v>
      </c>
      <c r="AO418" s="40">
        <f>I418*0.322424038282553</f>
        <v>0</v>
      </c>
      <c r="AP418" s="40">
        <f>I418*(1-0.322424038282553)</f>
        <v>0</v>
      </c>
      <c r="AQ418" s="17" t="s">
        <v>1260</v>
      </c>
      <c r="AV418" s="40">
        <f t="shared" si="312"/>
        <v>0</v>
      </c>
      <c r="AW418" s="40">
        <f t="shared" si="313"/>
        <v>0</v>
      </c>
      <c r="AX418" s="40">
        <f t="shared" si="314"/>
        <v>0</v>
      </c>
      <c r="AY418" s="17" t="s">
        <v>106</v>
      </c>
      <c r="AZ418" s="17" t="s">
        <v>151</v>
      </c>
      <c r="BA418" s="11" t="s">
        <v>140</v>
      </c>
      <c r="BC418" s="40">
        <f t="shared" si="315"/>
        <v>0</v>
      </c>
      <c r="BD418" s="40">
        <f t="shared" si="316"/>
        <v>0</v>
      </c>
      <c r="BE418" s="40">
        <v>0</v>
      </c>
      <c r="BF418" s="40">
        <f>418</f>
        <v>418</v>
      </c>
      <c r="BH418" s="40">
        <f t="shared" si="317"/>
        <v>0</v>
      </c>
      <c r="BI418" s="40">
        <f t="shared" si="318"/>
        <v>0</v>
      </c>
      <c r="BJ418" s="40">
        <f t="shared" si="319"/>
        <v>0</v>
      </c>
      <c r="BK418" s="40"/>
      <c r="BL418" s="40">
        <v>89</v>
      </c>
    </row>
    <row r="419" spans="1:64" ht="15" customHeight="1">
      <c r="A419" s="19" t="s">
        <v>1381</v>
      </c>
      <c r="B419" s="59" t="s">
        <v>903</v>
      </c>
      <c r="C419" s="76" t="s">
        <v>82</v>
      </c>
      <c r="D419" s="76"/>
      <c r="E419" s="76"/>
      <c r="F419" s="76"/>
      <c r="G419" s="59" t="s">
        <v>312</v>
      </c>
      <c r="H419" s="40">
        <v>2</v>
      </c>
      <c r="I419" s="40">
        <v>0</v>
      </c>
      <c r="J419" s="40">
        <f t="shared" si="298"/>
        <v>0</v>
      </c>
      <c r="K419" s="40">
        <f t="shared" si="299"/>
        <v>0</v>
      </c>
      <c r="L419" s="40">
        <f t="shared" si="300"/>
        <v>0</v>
      </c>
      <c r="M419" s="69" t="s">
        <v>868</v>
      </c>
      <c r="Z419" s="40">
        <f t="shared" si="301"/>
        <v>0</v>
      </c>
      <c r="AB419" s="40">
        <f t="shared" si="302"/>
        <v>0</v>
      </c>
      <c r="AC419" s="40">
        <f t="shared" si="303"/>
        <v>0</v>
      </c>
      <c r="AD419" s="40">
        <f t="shared" si="304"/>
        <v>0</v>
      </c>
      <c r="AE419" s="40">
        <f t="shared" si="305"/>
        <v>0</v>
      </c>
      <c r="AF419" s="40">
        <f t="shared" si="306"/>
        <v>0</v>
      </c>
      <c r="AG419" s="40">
        <f t="shared" si="307"/>
        <v>0</v>
      </c>
      <c r="AH419" s="40">
        <f t="shared" si="308"/>
        <v>0</v>
      </c>
      <c r="AI419" s="11" t="s">
        <v>1271</v>
      </c>
      <c r="AJ419" s="40">
        <f t="shared" si="309"/>
        <v>0</v>
      </c>
      <c r="AK419" s="40">
        <f t="shared" si="310"/>
        <v>0</v>
      </c>
      <c r="AL419" s="40">
        <f t="shared" si="311"/>
        <v>0</v>
      </c>
      <c r="AN419" s="40">
        <v>21</v>
      </c>
      <c r="AO419" s="40">
        <f>I419*0.117775377969762</f>
        <v>0</v>
      </c>
      <c r="AP419" s="40">
        <f>I419*(1-0.117775377969762)</f>
        <v>0</v>
      </c>
      <c r="AQ419" s="17" t="s">
        <v>1260</v>
      </c>
      <c r="AV419" s="40">
        <f t="shared" si="312"/>
        <v>0</v>
      </c>
      <c r="AW419" s="40">
        <f t="shared" si="313"/>
        <v>0</v>
      </c>
      <c r="AX419" s="40">
        <f t="shared" si="314"/>
        <v>0</v>
      </c>
      <c r="AY419" s="17" t="s">
        <v>106</v>
      </c>
      <c r="AZ419" s="17" t="s">
        <v>151</v>
      </c>
      <c r="BA419" s="11" t="s">
        <v>140</v>
      </c>
      <c r="BC419" s="40">
        <f t="shared" si="315"/>
        <v>0</v>
      </c>
      <c r="BD419" s="40">
        <f t="shared" si="316"/>
        <v>0</v>
      </c>
      <c r="BE419" s="40">
        <v>0</v>
      </c>
      <c r="BF419" s="40">
        <f>419</f>
        <v>419</v>
      </c>
      <c r="BH419" s="40">
        <f t="shared" si="317"/>
        <v>0</v>
      </c>
      <c r="BI419" s="40">
        <f t="shared" si="318"/>
        <v>0</v>
      </c>
      <c r="BJ419" s="40">
        <f t="shared" si="319"/>
        <v>0</v>
      </c>
      <c r="BK419" s="40"/>
      <c r="BL419" s="40">
        <v>89</v>
      </c>
    </row>
    <row r="420" spans="1:64" ht="15" customHeight="1">
      <c r="A420" s="19" t="s">
        <v>923</v>
      </c>
      <c r="B420" s="59" t="s">
        <v>286</v>
      </c>
      <c r="C420" s="76" t="s">
        <v>264</v>
      </c>
      <c r="D420" s="76"/>
      <c r="E420" s="76"/>
      <c r="F420" s="76"/>
      <c r="G420" s="59" t="s">
        <v>312</v>
      </c>
      <c r="H420" s="40">
        <v>6</v>
      </c>
      <c r="I420" s="40">
        <v>0</v>
      </c>
      <c r="J420" s="40">
        <f t="shared" si="298"/>
        <v>0</v>
      </c>
      <c r="K420" s="40">
        <f t="shared" si="299"/>
        <v>0</v>
      </c>
      <c r="L420" s="40">
        <f t="shared" si="300"/>
        <v>0</v>
      </c>
      <c r="M420" s="69" t="s">
        <v>868</v>
      </c>
      <c r="Z420" s="40">
        <f t="shared" si="301"/>
        <v>0</v>
      </c>
      <c r="AB420" s="40">
        <f t="shared" si="302"/>
        <v>0</v>
      </c>
      <c r="AC420" s="40">
        <f t="shared" si="303"/>
        <v>0</v>
      </c>
      <c r="AD420" s="40">
        <f t="shared" si="304"/>
        <v>0</v>
      </c>
      <c r="AE420" s="40">
        <f t="shared" si="305"/>
        <v>0</v>
      </c>
      <c r="AF420" s="40">
        <f t="shared" si="306"/>
        <v>0</v>
      </c>
      <c r="AG420" s="40">
        <f t="shared" si="307"/>
        <v>0</v>
      </c>
      <c r="AH420" s="40">
        <f t="shared" si="308"/>
        <v>0</v>
      </c>
      <c r="AI420" s="11" t="s">
        <v>1271</v>
      </c>
      <c r="AJ420" s="40">
        <f t="shared" si="309"/>
        <v>0</v>
      </c>
      <c r="AK420" s="40">
        <f t="shared" si="310"/>
        <v>0</v>
      </c>
      <c r="AL420" s="40">
        <f t="shared" si="311"/>
        <v>0</v>
      </c>
      <c r="AN420" s="40">
        <v>21</v>
      </c>
      <c r="AO420" s="40">
        <f>I420*0.171815878378378</f>
        <v>0</v>
      </c>
      <c r="AP420" s="40">
        <f>I420*(1-0.171815878378378)</f>
        <v>0</v>
      </c>
      <c r="AQ420" s="17" t="s">
        <v>1260</v>
      </c>
      <c r="AV420" s="40">
        <f t="shared" si="312"/>
        <v>0</v>
      </c>
      <c r="AW420" s="40">
        <f t="shared" si="313"/>
        <v>0</v>
      </c>
      <c r="AX420" s="40">
        <f t="shared" si="314"/>
        <v>0</v>
      </c>
      <c r="AY420" s="17" t="s">
        <v>106</v>
      </c>
      <c r="AZ420" s="17" t="s">
        <v>151</v>
      </c>
      <c r="BA420" s="11" t="s">
        <v>140</v>
      </c>
      <c r="BC420" s="40">
        <f t="shared" si="315"/>
        <v>0</v>
      </c>
      <c r="BD420" s="40">
        <f t="shared" si="316"/>
        <v>0</v>
      </c>
      <c r="BE420" s="40">
        <v>0</v>
      </c>
      <c r="BF420" s="40">
        <f>420</f>
        <v>420</v>
      </c>
      <c r="BH420" s="40">
        <f t="shared" si="317"/>
        <v>0</v>
      </c>
      <c r="BI420" s="40">
        <f t="shared" si="318"/>
        <v>0</v>
      </c>
      <c r="BJ420" s="40">
        <f t="shared" si="319"/>
        <v>0</v>
      </c>
      <c r="BK420" s="40"/>
      <c r="BL420" s="40">
        <v>89</v>
      </c>
    </row>
    <row r="421" spans="1:64" ht="15" customHeight="1">
      <c r="A421" s="19" t="s">
        <v>1040</v>
      </c>
      <c r="B421" s="59" t="s">
        <v>1430</v>
      </c>
      <c r="C421" s="76" t="s">
        <v>178</v>
      </c>
      <c r="D421" s="76"/>
      <c r="E421" s="76"/>
      <c r="F421" s="76"/>
      <c r="G421" s="59" t="s">
        <v>312</v>
      </c>
      <c r="H421" s="40">
        <v>6</v>
      </c>
      <c r="I421" s="40">
        <v>0</v>
      </c>
      <c r="J421" s="40">
        <f t="shared" si="298"/>
        <v>0</v>
      </c>
      <c r="K421" s="40">
        <f t="shared" si="299"/>
        <v>0</v>
      </c>
      <c r="L421" s="40">
        <f t="shared" si="300"/>
        <v>0</v>
      </c>
      <c r="M421" s="69" t="s">
        <v>868</v>
      </c>
      <c r="Z421" s="40">
        <f t="shared" si="301"/>
        <v>0</v>
      </c>
      <c r="AB421" s="40">
        <f t="shared" si="302"/>
        <v>0</v>
      </c>
      <c r="AC421" s="40">
        <f t="shared" si="303"/>
        <v>0</v>
      </c>
      <c r="AD421" s="40">
        <f t="shared" si="304"/>
        <v>0</v>
      </c>
      <c r="AE421" s="40">
        <f t="shared" si="305"/>
        <v>0</v>
      </c>
      <c r="AF421" s="40">
        <f t="shared" si="306"/>
        <v>0</v>
      </c>
      <c r="AG421" s="40">
        <f t="shared" si="307"/>
        <v>0</v>
      </c>
      <c r="AH421" s="40">
        <f t="shared" si="308"/>
        <v>0</v>
      </c>
      <c r="AI421" s="11" t="s">
        <v>1271</v>
      </c>
      <c r="AJ421" s="40">
        <f t="shared" si="309"/>
        <v>0</v>
      </c>
      <c r="AK421" s="40">
        <f t="shared" si="310"/>
        <v>0</v>
      </c>
      <c r="AL421" s="40">
        <f t="shared" si="311"/>
        <v>0</v>
      </c>
      <c r="AN421" s="40">
        <v>21</v>
      </c>
      <c r="AO421" s="40">
        <f>I421*1</f>
        <v>0</v>
      </c>
      <c r="AP421" s="40">
        <f>I421*(1-1)</f>
        <v>0</v>
      </c>
      <c r="AQ421" s="17" t="s">
        <v>1260</v>
      </c>
      <c r="AV421" s="40">
        <f t="shared" si="312"/>
        <v>0</v>
      </c>
      <c r="AW421" s="40">
        <f t="shared" si="313"/>
        <v>0</v>
      </c>
      <c r="AX421" s="40">
        <f t="shared" si="314"/>
        <v>0</v>
      </c>
      <c r="AY421" s="17" t="s">
        <v>106</v>
      </c>
      <c r="AZ421" s="17" t="s">
        <v>151</v>
      </c>
      <c r="BA421" s="11" t="s">
        <v>140</v>
      </c>
      <c r="BC421" s="40">
        <f t="shared" si="315"/>
        <v>0</v>
      </c>
      <c r="BD421" s="40">
        <f t="shared" si="316"/>
        <v>0</v>
      </c>
      <c r="BE421" s="40">
        <v>0</v>
      </c>
      <c r="BF421" s="40">
        <f>421</f>
        <v>421</v>
      </c>
      <c r="BH421" s="40">
        <f t="shared" si="317"/>
        <v>0</v>
      </c>
      <c r="BI421" s="40">
        <f t="shared" si="318"/>
        <v>0</v>
      </c>
      <c r="BJ421" s="40">
        <f t="shared" si="319"/>
        <v>0</v>
      </c>
      <c r="BK421" s="40"/>
      <c r="BL421" s="40">
        <v>89</v>
      </c>
    </row>
    <row r="422" spans="1:64" ht="15" customHeight="1">
      <c r="A422" s="19" t="s">
        <v>854</v>
      </c>
      <c r="B422" s="59" t="s">
        <v>598</v>
      </c>
      <c r="C422" s="76" t="s">
        <v>926</v>
      </c>
      <c r="D422" s="76"/>
      <c r="E422" s="76"/>
      <c r="F422" s="76"/>
      <c r="G422" s="59" t="s">
        <v>312</v>
      </c>
      <c r="H422" s="40">
        <v>6</v>
      </c>
      <c r="I422" s="40">
        <v>0</v>
      </c>
      <c r="J422" s="40">
        <f t="shared" si="298"/>
        <v>0</v>
      </c>
      <c r="K422" s="40">
        <f t="shared" si="299"/>
        <v>0</v>
      </c>
      <c r="L422" s="40">
        <f t="shared" si="300"/>
        <v>0</v>
      </c>
      <c r="M422" s="69" t="s">
        <v>868</v>
      </c>
      <c r="Z422" s="40">
        <f t="shared" si="301"/>
        <v>0</v>
      </c>
      <c r="AB422" s="40">
        <f t="shared" si="302"/>
        <v>0</v>
      </c>
      <c r="AC422" s="40">
        <f t="shared" si="303"/>
        <v>0</v>
      </c>
      <c r="AD422" s="40">
        <f t="shared" si="304"/>
        <v>0</v>
      </c>
      <c r="AE422" s="40">
        <f t="shared" si="305"/>
        <v>0</v>
      </c>
      <c r="AF422" s="40">
        <f t="shared" si="306"/>
        <v>0</v>
      </c>
      <c r="AG422" s="40">
        <f t="shared" si="307"/>
        <v>0</v>
      </c>
      <c r="AH422" s="40">
        <f t="shared" si="308"/>
        <v>0</v>
      </c>
      <c r="AI422" s="11" t="s">
        <v>1271</v>
      </c>
      <c r="AJ422" s="40">
        <f t="shared" si="309"/>
        <v>0</v>
      </c>
      <c r="AK422" s="40">
        <f t="shared" si="310"/>
        <v>0</v>
      </c>
      <c r="AL422" s="40">
        <f t="shared" si="311"/>
        <v>0</v>
      </c>
      <c r="AN422" s="40">
        <v>21</v>
      </c>
      <c r="AO422" s="40">
        <f>I422*1</f>
        <v>0</v>
      </c>
      <c r="AP422" s="40">
        <f>I422*(1-1)</f>
        <v>0</v>
      </c>
      <c r="AQ422" s="17" t="s">
        <v>1260</v>
      </c>
      <c r="AV422" s="40">
        <f t="shared" si="312"/>
        <v>0</v>
      </c>
      <c r="AW422" s="40">
        <f t="shared" si="313"/>
        <v>0</v>
      </c>
      <c r="AX422" s="40">
        <f t="shared" si="314"/>
        <v>0</v>
      </c>
      <c r="AY422" s="17" t="s">
        <v>106</v>
      </c>
      <c r="AZ422" s="17" t="s">
        <v>151</v>
      </c>
      <c r="BA422" s="11" t="s">
        <v>140</v>
      </c>
      <c r="BC422" s="40">
        <f t="shared" si="315"/>
        <v>0</v>
      </c>
      <c r="BD422" s="40">
        <f t="shared" si="316"/>
        <v>0</v>
      </c>
      <c r="BE422" s="40">
        <v>0</v>
      </c>
      <c r="BF422" s="40">
        <f>422</f>
        <v>422</v>
      </c>
      <c r="BH422" s="40">
        <f t="shared" si="317"/>
        <v>0</v>
      </c>
      <c r="BI422" s="40">
        <f t="shared" si="318"/>
        <v>0</v>
      </c>
      <c r="BJ422" s="40">
        <f t="shared" si="319"/>
        <v>0</v>
      </c>
      <c r="BK422" s="40"/>
      <c r="BL422" s="40">
        <v>89</v>
      </c>
    </row>
    <row r="423" spans="1:64" ht="15" customHeight="1">
      <c r="A423" s="19" t="s">
        <v>704</v>
      </c>
      <c r="B423" s="59" t="s">
        <v>997</v>
      </c>
      <c r="C423" s="76" t="s">
        <v>168</v>
      </c>
      <c r="D423" s="76"/>
      <c r="E423" s="76"/>
      <c r="F423" s="76"/>
      <c r="G423" s="59" t="s">
        <v>312</v>
      </c>
      <c r="H423" s="40">
        <v>55</v>
      </c>
      <c r="I423" s="40">
        <v>0</v>
      </c>
      <c r="J423" s="40">
        <f t="shared" si="298"/>
        <v>0</v>
      </c>
      <c r="K423" s="40">
        <f t="shared" si="299"/>
        <v>0</v>
      </c>
      <c r="L423" s="40">
        <f t="shared" si="300"/>
        <v>0</v>
      </c>
      <c r="M423" s="69" t="s">
        <v>868</v>
      </c>
      <c r="Z423" s="40">
        <f t="shared" si="301"/>
        <v>0</v>
      </c>
      <c r="AB423" s="40">
        <f t="shared" si="302"/>
        <v>0</v>
      </c>
      <c r="AC423" s="40">
        <f t="shared" si="303"/>
        <v>0</v>
      </c>
      <c r="AD423" s="40">
        <f t="shared" si="304"/>
        <v>0</v>
      </c>
      <c r="AE423" s="40">
        <f t="shared" si="305"/>
        <v>0</v>
      </c>
      <c r="AF423" s="40">
        <f t="shared" si="306"/>
        <v>0</v>
      </c>
      <c r="AG423" s="40">
        <f t="shared" si="307"/>
        <v>0</v>
      </c>
      <c r="AH423" s="40">
        <f t="shared" si="308"/>
        <v>0</v>
      </c>
      <c r="AI423" s="11" t="s">
        <v>1271</v>
      </c>
      <c r="AJ423" s="40">
        <f t="shared" si="309"/>
        <v>0</v>
      </c>
      <c r="AK423" s="40">
        <f t="shared" si="310"/>
        <v>0</v>
      </c>
      <c r="AL423" s="40">
        <f t="shared" si="311"/>
        <v>0</v>
      </c>
      <c r="AN423" s="40">
        <v>21</v>
      </c>
      <c r="AO423" s="40">
        <f>I423*0.395904486251809</f>
        <v>0</v>
      </c>
      <c r="AP423" s="40">
        <f>I423*(1-0.395904486251809)</f>
        <v>0</v>
      </c>
      <c r="AQ423" s="17" t="s">
        <v>1260</v>
      </c>
      <c r="AV423" s="40">
        <f t="shared" si="312"/>
        <v>0</v>
      </c>
      <c r="AW423" s="40">
        <f t="shared" si="313"/>
        <v>0</v>
      </c>
      <c r="AX423" s="40">
        <f t="shared" si="314"/>
        <v>0</v>
      </c>
      <c r="AY423" s="17" t="s">
        <v>106</v>
      </c>
      <c r="AZ423" s="17" t="s">
        <v>151</v>
      </c>
      <c r="BA423" s="11" t="s">
        <v>140</v>
      </c>
      <c r="BC423" s="40">
        <f t="shared" si="315"/>
        <v>0</v>
      </c>
      <c r="BD423" s="40">
        <f t="shared" si="316"/>
        <v>0</v>
      </c>
      <c r="BE423" s="40">
        <v>0</v>
      </c>
      <c r="BF423" s="40">
        <f>423</f>
        <v>423</v>
      </c>
      <c r="BH423" s="40">
        <f t="shared" si="317"/>
        <v>0</v>
      </c>
      <c r="BI423" s="40">
        <f t="shared" si="318"/>
        <v>0</v>
      </c>
      <c r="BJ423" s="40">
        <f t="shared" si="319"/>
        <v>0</v>
      </c>
      <c r="BK423" s="40"/>
      <c r="BL423" s="40">
        <v>89</v>
      </c>
    </row>
    <row r="424" spans="1:64" ht="15" customHeight="1">
      <c r="A424" s="19" t="s">
        <v>987</v>
      </c>
      <c r="B424" s="59" t="s">
        <v>52</v>
      </c>
      <c r="C424" s="76" t="s">
        <v>1235</v>
      </c>
      <c r="D424" s="76"/>
      <c r="E424" s="76"/>
      <c r="F424" s="76"/>
      <c r="G424" s="59" t="s">
        <v>312</v>
      </c>
      <c r="H424" s="40">
        <v>29.5</v>
      </c>
      <c r="I424" s="40">
        <v>0</v>
      </c>
      <c r="J424" s="40">
        <f t="shared" si="298"/>
        <v>0</v>
      </c>
      <c r="K424" s="40">
        <f t="shared" si="299"/>
        <v>0</v>
      </c>
      <c r="L424" s="40">
        <f t="shared" si="300"/>
        <v>0</v>
      </c>
      <c r="M424" s="69" t="s">
        <v>868</v>
      </c>
      <c r="Z424" s="40">
        <f t="shared" si="301"/>
        <v>0</v>
      </c>
      <c r="AB424" s="40">
        <f t="shared" si="302"/>
        <v>0</v>
      </c>
      <c r="AC424" s="40">
        <f t="shared" si="303"/>
        <v>0</v>
      </c>
      <c r="AD424" s="40">
        <f t="shared" si="304"/>
        <v>0</v>
      </c>
      <c r="AE424" s="40">
        <f t="shared" si="305"/>
        <v>0</v>
      </c>
      <c r="AF424" s="40">
        <f t="shared" si="306"/>
        <v>0</v>
      </c>
      <c r="AG424" s="40">
        <f t="shared" si="307"/>
        <v>0</v>
      </c>
      <c r="AH424" s="40">
        <f t="shared" si="308"/>
        <v>0</v>
      </c>
      <c r="AI424" s="11" t="s">
        <v>1271</v>
      </c>
      <c r="AJ424" s="40">
        <f t="shared" si="309"/>
        <v>0</v>
      </c>
      <c r="AK424" s="40">
        <f t="shared" si="310"/>
        <v>0</v>
      </c>
      <c r="AL424" s="40">
        <f t="shared" si="311"/>
        <v>0</v>
      </c>
      <c r="AN424" s="40">
        <v>21</v>
      </c>
      <c r="AO424" s="40">
        <f>I424*1</f>
        <v>0</v>
      </c>
      <c r="AP424" s="40">
        <f>I424*(1-1)</f>
        <v>0</v>
      </c>
      <c r="AQ424" s="17" t="s">
        <v>1260</v>
      </c>
      <c r="AV424" s="40">
        <f t="shared" si="312"/>
        <v>0</v>
      </c>
      <c r="AW424" s="40">
        <f t="shared" si="313"/>
        <v>0</v>
      </c>
      <c r="AX424" s="40">
        <f t="shared" si="314"/>
        <v>0</v>
      </c>
      <c r="AY424" s="17" t="s">
        <v>106</v>
      </c>
      <c r="AZ424" s="17" t="s">
        <v>151</v>
      </c>
      <c r="BA424" s="11" t="s">
        <v>140</v>
      </c>
      <c r="BC424" s="40">
        <f t="shared" si="315"/>
        <v>0</v>
      </c>
      <c r="BD424" s="40">
        <f t="shared" si="316"/>
        <v>0</v>
      </c>
      <c r="BE424" s="40">
        <v>0</v>
      </c>
      <c r="BF424" s="40">
        <f>424</f>
        <v>424</v>
      </c>
      <c r="BH424" s="40">
        <f t="shared" si="317"/>
        <v>0</v>
      </c>
      <c r="BI424" s="40">
        <f t="shared" si="318"/>
        <v>0</v>
      </c>
      <c r="BJ424" s="40">
        <f t="shared" si="319"/>
        <v>0</v>
      </c>
      <c r="BK424" s="40"/>
      <c r="BL424" s="40">
        <v>89</v>
      </c>
    </row>
    <row r="425" spans="1:64" ht="15" customHeight="1">
      <c r="A425" s="19" t="s">
        <v>969</v>
      </c>
      <c r="B425" s="59" t="s">
        <v>354</v>
      </c>
      <c r="C425" s="76" t="s">
        <v>350</v>
      </c>
      <c r="D425" s="76"/>
      <c r="E425" s="76"/>
      <c r="F425" s="76"/>
      <c r="G425" s="59" t="s">
        <v>312</v>
      </c>
      <c r="H425" s="40">
        <v>55</v>
      </c>
      <c r="I425" s="40">
        <v>0</v>
      </c>
      <c r="J425" s="40">
        <f t="shared" si="298"/>
        <v>0</v>
      </c>
      <c r="K425" s="40">
        <f t="shared" si="299"/>
        <v>0</v>
      </c>
      <c r="L425" s="40">
        <f t="shared" si="300"/>
        <v>0</v>
      </c>
      <c r="M425" s="69" t="s">
        <v>868</v>
      </c>
      <c r="Z425" s="40">
        <f t="shared" si="301"/>
        <v>0</v>
      </c>
      <c r="AB425" s="40">
        <f t="shared" si="302"/>
        <v>0</v>
      </c>
      <c r="AC425" s="40">
        <f t="shared" si="303"/>
        <v>0</v>
      </c>
      <c r="AD425" s="40">
        <f t="shared" si="304"/>
        <v>0</v>
      </c>
      <c r="AE425" s="40">
        <f t="shared" si="305"/>
        <v>0</v>
      </c>
      <c r="AF425" s="40">
        <f t="shared" si="306"/>
        <v>0</v>
      </c>
      <c r="AG425" s="40">
        <f t="shared" si="307"/>
        <v>0</v>
      </c>
      <c r="AH425" s="40">
        <f t="shared" si="308"/>
        <v>0</v>
      </c>
      <c r="AI425" s="11" t="s">
        <v>1271</v>
      </c>
      <c r="AJ425" s="40">
        <f t="shared" si="309"/>
        <v>0</v>
      </c>
      <c r="AK425" s="40">
        <f t="shared" si="310"/>
        <v>0</v>
      </c>
      <c r="AL425" s="40">
        <f t="shared" si="311"/>
        <v>0</v>
      </c>
      <c r="AN425" s="40">
        <v>21</v>
      </c>
      <c r="AO425" s="40">
        <f>I425*1</f>
        <v>0</v>
      </c>
      <c r="AP425" s="40">
        <f>I425*(1-1)</f>
        <v>0</v>
      </c>
      <c r="AQ425" s="17" t="s">
        <v>1260</v>
      </c>
      <c r="AV425" s="40">
        <f t="shared" si="312"/>
        <v>0</v>
      </c>
      <c r="AW425" s="40">
        <f t="shared" si="313"/>
        <v>0</v>
      </c>
      <c r="AX425" s="40">
        <f t="shared" si="314"/>
        <v>0</v>
      </c>
      <c r="AY425" s="17" t="s">
        <v>106</v>
      </c>
      <c r="AZ425" s="17" t="s">
        <v>151</v>
      </c>
      <c r="BA425" s="11" t="s">
        <v>140</v>
      </c>
      <c r="BC425" s="40">
        <f t="shared" si="315"/>
        <v>0</v>
      </c>
      <c r="BD425" s="40">
        <f t="shared" si="316"/>
        <v>0</v>
      </c>
      <c r="BE425" s="40">
        <v>0</v>
      </c>
      <c r="BF425" s="40">
        <f>425</f>
        <v>425</v>
      </c>
      <c r="BH425" s="40">
        <f t="shared" si="317"/>
        <v>0</v>
      </c>
      <c r="BI425" s="40">
        <f t="shared" si="318"/>
        <v>0</v>
      </c>
      <c r="BJ425" s="40">
        <f t="shared" si="319"/>
        <v>0</v>
      </c>
      <c r="BK425" s="40"/>
      <c r="BL425" s="40">
        <v>89</v>
      </c>
    </row>
    <row r="426" spans="1:64" ht="15" customHeight="1">
      <c r="A426" s="19" t="s">
        <v>438</v>
      </c>
      <c r="B426" s="59" t="s">
        <v>6</v>
      </c>
      <c r="C426" s="76" t="s">
        <v>1392</v>
      </c>
      <c r="D426" s="76"/>
      <c r="E426" s="76"/>
      <c r="F426" s="76"/>
      <c r="G426" s="59" t="s">
        <v>1041</v>
      </c>
      <c r="H426" s="40">
        <v>461.055</v>
      </c>
      <c r="I426" s="40">
        <v>0</v>
      </c>
      <c r="J426" s="40">
        <f t="shared" si="298"/>
        <v>0</v>
      </c>
      <c r="K426" s="40">
        <f t="shared" si="299"/>
        <v>0</v>
      </c>
      <c r="L426" s="40">
        <f t="shared" si="300"/>
        <v>0</v>
      </c>
      <c r="M426" s="69" t="s">
        <v>868</v>
      </c>
      <c r="Z426" s="40">
        <f t="shared" si="301"/>
        <v>0</v>
      </c>
      <c r="AB426" s="40">
        <f t="shared" si="302"/>
        <v>0</v>
      </c>
      <c r="AC426" s="40">
        <f t="shared" si="303"/>
        <v>0</v>
      </c>
      <c r="AD426" s="40">
        <f t="shared" si="304"/>
        <v>0</v>
      </c>
      <c r="AE426" s="40">
        <f t="shared" si="305"/>
        <v>0</v>
      </c>
      <c r="AF426" s="40">
        <f t="shared" si="306"/>
        <v>0</v>
      </c>
      <c r="AG426" s="40">
        <f t="shared" si="307"/>
        <v>0</v>
      </c>
      <c r="AH426" s="40">
        <f t="shared" si="308"/>
        <v>0</v>
      </c>
      <c r="AI426" s="11" t="s">
        <v>1271</v>
      </c>
      <c r="AJ426" s="40">
        <f t="shared" si="309"/>
        <v>0</v>
      </c>
      <c r="AK426" s="40">
        <f t="shared" si="310"/>
        <v>0</v>
      </c>
      <c r="AL426" s="40">
        <f t="shared" si="311"/>
        <v>0</v>
      </c>
      <c r="AN426" s="40">
        <v>21</v>
      </c>
      <c r="AO426" s="40">
        <f>I426*0.591899405480629</f>
        <v>0</v>
      </c>
      <c r="AP426" s="40">
        <f>I426*(1-0.591899405480629)</f>
        <v>0</v>
      </c>
      <c r="AQ426" s="17" t="s">
        <v>1260</v>
      </c>
      <c r="AV426" s="40">
        <f t="shared" si="312"/>
        <v>0</v>
      </c>
      <c r="AW426" s="40">
        <f t="shared" si="313"/>
        <v>0</v>
      </c>
      <c r="AX426" s="40">
        <f t="shared" si="314"/>
        <v>0</v>
      </c>
      <c r="AY426" s="17" t="s">
        <v>106</v>
      </c>
      <c r="AZ426" s="17" t="s">
        <v>151</v>
      </c>
      <c r="BA426" s="11" t="s">
        <v>140</v>
      </c>
      <c r="BC426" s="40">
        <f t="shared" si="315"/>
        <v>0</v>
      </c>
      <c r="BD426" s="40">
        <f t="shared" si="316"/>
        <v>0</v>
      </c>
      <c r="BE426" s="40">
        <v>0</v>
      </c>
      <c r="BF426" s="40">
        <f>426</f>
        <v>426</v>
      </c>
      <c r="BH426" s="40">
        <f t="shared" si="317"/>
        <v>0</v>
      </c>
      <c r="BI426" s="40">
        <f t="shared" si="318"/>
        <v>0</v>
      </c>
      <c r="BJ426" s="40">
        <f t="shared" si="319"/>
        <v>0</v>
      </c>
      <c r="BK426" s="40"/>
      <c r="BL426" s="40">
        <v>89</v>
      </c>
    </row>
    <row r="427" spans="1:64" ht="15" customHeight="1">
      <c r="A427" s="19" t="s">
        <v>474</v>
      </c>
      <c r="B427" s="59" t="s">
        <v>1194</v>
      </c>
      <c r="C427" s="76" t="s">
        <v>487</v>
      </c>
      <c r="D427" s="76"/>
      <c r="E427" s="76"/>
      <c r="F427" s="76"/>
      <c r="G427" s="59" t="s">
        <v>312</v>
      </c>
      <c r="H427" s="40">
        <v>2</v>
      </c>
      <c r="I427" s="40">
        <v>0</v>
      </c>
      <c r="J427" s="40">
        <f t="shared" si="298"/>
        <v>0</v>
      </c>
      <c r="K427" s="40">
        <f t="shared" si="299"/>
        <v>0</v>
      </c>
      <c r="L427" s="40">
        <f t="shared" si="300"/>
        <v>0</v>
      </c>
      <c r="M427" s="69" t="s">
        <v>868</v>
      </c>
      <c r="Z427" s="40">
        <f t="shared" si="301"/>
        <v>0</v>
      </c>
      <c r="AB427" s="40">
        <f t="shared" si="302"/>
        <v>0</v>
      </c>
      <c r="AC427" s="40">
        <f t="shared" si="303"/>
        <v>0</v>
      </c>
      <c r="AD427" s="40">
        <f t="shared" si="304"/>
        <v>0</v>
      </c>
      <c r="AE427" s="40">
        <f t="shared" si="305"/>
        <v>0</v>
      </c>
      <c r="AF427" s="40">
        <f t="shared" si="306"/>
        <v>0</v>
      </c>
      <c r="AG427" s="40">
        <f t="shared" si="307"/>
        <v>0</v>
      </c>
      <c r="AH427" s="40">
        <f t="shared" si="308"/>
        <v>0</v>
      </c>
      <c r="AI427" s="11" t="s">
        <v>1271</v>
      </c>
      <c r="AJ427" s="40">
        <f t="shared" si="309"/>
        <v>0</v>
      </c>
      <c r="AK427" s="40">
        <f t="shared" si="310"/>
        <v>0</v>
      </c>
      <c r="AL427" s="40">
        <f t="shared" si="311"/>
        <v>0</v>
      </c>
      <c r="AN427" s="40">
        <v>21</v>
      </c>
      <c r="AO427" s="40">
        <f>I427*0.119145108991503</f>
        <v>0</v>
      </c>
      <c r="AP427" s="40">
        <f>I427*(1-0.119145108991503)</f>
        <v>0</v>
      </c>
      <c r="AQ427" s="17" t="s">
        <v>1260</v>
      </c>
      <c r="AV427" s="40">
        <f t="shared" si="312"/>
        <v>0</v>
      </c>
      <c r="AW427" s="40">
        <f t="shared" si="313"/>
        <v>0</v>
      </c>
      <c r="AX427" s="40">
        <f t="shared" si="314"/>
        <v>0</v>
      </c>
      <c r="AY427" s="17" t="s">
        <v>106</v>
      </c>
      <c r="AZ427" s="17" t="s">
        <v>151</v>
      </c>
      <c r="BA427" s="11" t="s">
        <v>140</v>
      </c>
      <c r="BC427" s="40">
        <f t="shared" si="315"/>
        <v>0</v>
      </c>
      <c r="BD427" s="40">
        <f t="shared" si="316"/>
        <v>0</v>
      </c>
      <c r="BE427" s="40">
        <v>0</v>
      </c>
      <c r="BF427" s="40">
        <f>427</f>
        <v>427</v>
      </c>
      <c r="BH427" s="40">
        <f t="shared" si="317"/>
        <v>0</v>
      </c>
      <c r="BI427" s="40">
        <f t="shared" si="318"/>
        <v>0</v>
      </c>
      <c r="BJ427" s="40">
        <f t="shared" si="319"/>
        <v>0</v>
      </c>
      <c r="BK427" s="40"/>
      <c r="BL427" s="40">
        <v>89</v>
      </c>
    </row>
    <row r="428" spans="1:64" ht="15" customHeight="1">
      <c r="A428" s="19" t="s">
        <v>1269</v>
      </c>
      <c r="B428" s="59" t="s">
        <v>917</v>
      </c>
      <c r="C428" s="76" t="s">
        <v>435</v>
      </c>
      <c r="D428" s="76"/>
      <c r="E428" s="76"/>
      <c r="F428" s="76"/>
      <c r="G428" s="59" t="s">
        <v>312</v>
      </c>
      <c r="H428" s="40">
        <v>2</v>
      </c>
      <c r="I428" s="40">
        <v>0</v>
      </c>
      <c r="J428" s="40">
        <f t="shared" si="298"/>
        <v>0</v>
      </c>
      <c r="K428" s="40">
        <f t="shared" si="299"/>
        <v>0</v>
      </c>
      <c r="L428" s="40">
        <f t="shared" si="300"/>
        <v>0</v>
      </c>
      <c r="M428" s="69" t="s">
        <v>868</v>
      </c>
      <c r="Z428" s="40">
        <f t="shared" si="301"/>
        <v>0</v>
      </c>
      <c r="AB428" s="40">
        <f t="shared" si="302"/>
        <v>0</v>
      </c>
      <c r="AC428" s="40">
        <f t="shared" si="303"/>
        <v>0</v>
      </c>
      <c r="AD428" s="40">
        <f t="shared" si="304"/>
        <v>0</v>
      </c>
      <c r="AE428" s="40">
        <f t="shared" si="305"/>
        <v>0</v>
      </c>
      <c r="AF428" s="40">
        <f t="shared" si="306"/>
        <v>0</v>
      </c>
      <c r="AG428" s="40">
        <f t="shared" si="307"/>
        <v>0</v>
      </c>
      <c r="AH428" s="40">
        <f t="shared" si="308"/>
        <v>0</v>
      </c>
      <c r="AI428" s="11" t="s">
        <v>1271</v>
      </c>
      <c r="AJ428" s="40">
        <f t="shared" si="309"/>
        <v>0</v>
      </c>
      <c r="AK428" s="40">
        <f t="shared" si="310"/>
        <v>0</v>
      </c>
      <c r="AL428" s="40">
        <f t="shared" si="311"/>
        <v>0</v>
      </c>
      <c r="AN428" s="40">
        <v>21</v>
      </c>
      <c r="AO428" s="40">
        <f>I428*0.559852502674527</f>
        <v>0</v>
      </c>
      <c r="AP428" s="40">
        <f>I428*(1-0.559852502674527)</f>
        <v>0</v>
      </c>
      <c r="AQ428" s="17" t="s">
        <v>1260</v>
      </c>
      <c r="AV428" s="40">
        <f t="shared" si="312"/>
        <v>0</v>
      </c>
      <c r="AW428" s="40">
        <f t="shared" si="313"/>
        <v>0</v>
      </c>
      <c r="AX428" s="40">
        <f t="shared" si="314"/>
        <v>0</v>
      </c>
      <c r="AY428" s="17" t="s">
        <v>106</v>
      </c>
      <c r="AZ428" s="17" t="s">
        <v>151</v>
      </c>
      <c r="BA428" s="11" t="s">
        <v>140</v>
      </c>
      <c r="BC428" s="40">
        <f t="shared" si="315"/>
        <v>0</v>
      </c>
      <c r="BD428" s="40">
        <f t="shared" si="316"/>
        <v>0</v>
      </c>
      <c r="BE428" s="40">
        <v>0</v>
      </c>
      <c r="BF428" s="40">
        <f>428</f>
        <v>428</v>
      </c>
      <c r="BH428" s="40">
        <f t="shared" si="317"/>
        <v>0</v>
      </c>
      <c r="BI428" s="40">
        <f t="shared" si="318"/>
        <v>0</v>
      </c>
      <c r="BJ428" s="40">
        <f t="shared" si="319"/>
        <v>0</v>
      </c>
      <c r="BK428" s="40"/>
      <c r="BL428" s="40">
        <v>89</v>
      </c>
    </row>
    <row r="429" spans="1:64" ht="15" customHeight="1">
      <c r="A429" s="19" t="s">
        <v>294</v>
      </c>
      <c r="B429" s="59" t="s">
        <v>1056</v>
      </c>
      <c r="C429" s="76" t="s">
        <v>1363</v>
      </c>
      <c r="D429" s="76"/>
      <c r="E429" s="76"/>
      <c r="F429" s="76"/>
      <c r="G429" s="59" t="s">
        <v>312</v>
      </c>
      <c r="H429" s="40">
        <v>2</v>
      </c>
      <c r="I429" s="40">
        <v>0</v>
      </c>
      <c r="J429" s="40">
        <f t="shared" si="298"/>
        <v>0</v>
      </c>
      <c r="K429" s="40">
        <f t="shared" si="299"/>
        <v>0</v>
      </c>
      <c r="L429" s="40">
        <f t="shared" si="300"/>
        <v>0</v>
      </c>
      <c r="M429" s="69" t="s">
        <v>868</v>
      </c>
      <c r="Z429" s="40">
        <f t="shared" si="301"/>
        <v>0</v>
      </c>
      <c r="AB429" s="40">
        <f t="shared" si="302"/>
        <v>0</v>
      </c>
      <c r="AC429" s="40">
        <f t="shared" si="303"/>
        <v>0</v>
      </c>
      <c r="AD429" s="40">
        <f t="shared" si="304"/>
        <v>0</v>
      </c>
      <c r="AE429" s="40">
        <f t="shared" si="305"/>
        <v>0</v>
      </c>
      <c r="AF429" s="40">
        <f t="shared" si="306"/>
        <v>0</v>
      </c>
      <c r="AG429" s="40">
        <f t="shared" si="307"/>
        <v>0</v>
      </c>
      <c r="AH429" s="40">
        <f t="shared" si="308"/>
        <v>0</v>
      </c>
      <c r="AI429" s="11" t="s">
        <v>1271</v>
      </c>
      <c r="AJ429" s="40">
        <f t="shared" si="309"/>
        <v>0</v>
      </c>
      <c r="AK429" s="40">
        <f t="shared" si="310"/>
        <v>0</v>
      </c>
      <c r="AL429" s="40">
        <f t="shared" si="311"/>
        <v>0</v>
      </c>
      <c r="AN429" s="40">
        <v>21</v>
      </c>
      <c r="AO429" s="40">
        <f>I429*1</f>
        <v>0</v>
      </c>
      <c r="AP429" s="40">
        <f>I429*(1-1)</f>
        <v>0</v>
      </c>
      <c r="AQ429" s="17" t="s">
        <v>1260</v>
      </c>
      <c r="AV429" s="40">
        <f t="shared" si="312"/>
        <v>0</v>
      </c>
      <c r="AW429" s="40">
        <f t="shared" si="313"/>
        <v>0</v>
      </c>
      <c r="AX429" s="40">
        <f t="shared" si="314"/>
        <v>0</v>
      </c>
      <c r="AY429" s="17" t="s">
        <v>106</v>
      </c>
      <c r="AZ429" s="17" t="s">
        <v>151</v>
      </c>
      <c r="BA429" s="11" t="s">
        <v>140</v>
      </c>
      <c r="BC429" s="40">
        <f t="shared" si="315"/>
        <v>0</v>
      </c>
      <c r="BD429" s="40">
        <f t="shared" si="316"/>
        <v>0</v>
      </c>
      <c r="BE429" s="40">
        <v>0</v>
      </c>
      <c r="BF429" s="40">
        <f>429</f>
        <v>429</v>
      </c>
      <c r="BH429" s="40">
        <f t="shared" si="317"/>
        <v>0</v>
      </c>
      <c r="BI429" s="40">
        <f t="shared" si="318"/>
        <v>0</v>
      </c>
      <c r="BJ429" s="40">
        <f t="shared" si="319"/>
        <v>0</v>
      </c>
      <c r="BK429" s="40"/>
      <c r="BL429" s="40">
        <v>89</v>
      </c>
    </row>
    <row r="430" spans="1:64" ht="15" customHeight="1">
      <c r="A430" s="19" t="s">
        <v>21</v>
      </c>
      <c r="B430" s="59" t="s">
        <v>1004</v>
      </c>
      <c r="C430" s="76" t="s">
        <v>798</v>
      </c>
      <c r="D430" s="76"/>
      <c r="E430" s="76"/>
      <c r="F430" s="76"/>
      <c r="G430" s="59" t="s">
        <v>312</v>
      </c>
      <c r="H430" s="40">
        <v>1</v>
      </c>
      <c r="I430" s="40">
        <v>0</v>
      </c>
      <c r="J430" s="40">
        <f t="shared" si="298"/>
        <v>0</v>
      </c>
      <c r="K430" s="40">
        <f t="shared" si="299"/>
        <v>0</v>
      </c>
      <c r="L430" s="40">
        <f t="shared" si="300"/>
        <v>0</v>
      </c>
      <c r="M430" s="69" t="s">
        <v>868</v>
      </c>
      <c r="Z430" s="40">
        <f t="shared" si="301"/>
        <v>0</v>
      </c>
      <c r="AB430" s="40">
        <f t="shared" si="302"/>
        <v>0</v>
      </c>
      <c r="AC430" s="40">
        <f t="shared" si="303"/>
        <v>0</v>
      </c>
      <c r="AD430" s="40">
        <f t="shared" si="304"/>
        <v>0</v>
      </c>
      <c r="AE430" s="40">
        <f t="shared" si="305"/>
        <v>0</v>
      </c>
      <c r="AF430" s="40">
        <f t="shared" si="306"/>
        <v>0</v>
      </c>
      <c r="AG430" s="40">
        <f t="shared" si="307"/>
        <v>0</v>
      </c>
      <c r="AH430" s="40">
        <f t="shared" si="308"/>
        <v>0</v>
      </c>
      <c r="AI430" s="11" t="s">
        <v>1271</v>
      </c>
      <c r="AJ430" s="40">
        <f t="shared" si="309"/>
        <v>0</v>
      </c>
      <c r="AK430" s="40">
        <f t="shared" si="310"/>
        <v>0</v>
      </c>
      <c r="AL430" s="40">
        <f t="shared" si="311"/>
        <v>0</v>
      </c>
      <c r="AN430" s="40">
        <v>21</v>
      </c>
      <c r="AO430" s="40">
        <f>I430*1</f>
        <v>0</v>
      </c>
      <c r="AP430" s="40">
        <f>I430*(1-1)</f>
        <v>0</v>
      </c>
      <c r="AQ430" s="17" t="s">
        <v>1260</v>
      </c>
      <c r="AV430" s="40">
        <f t="shared" si="312"/>
        <v>0</v>
      </c>
      <c r="AW430" s="40">
        <f t="shared" si="313"/>
        <v>0</v>
      </c>
      <c r="AX430" s="40">
        <f t="shared" si="314"/>
        <v>0</v>
      </c>
      <c r="AY430" s="17" t="s">
        <v>106</v>
      </c>
      <c r="AZ430" s="17" t="s">
        <v>151</v>
      </c>
      <c r="BA430" s="11" t="s">
        <v>140</v>
      </c>
      <c r="BC430" s="40">
        <f t="shared" si="315"/>
        <v>0</v>
      </c>
      <c r="BD430" s="40">
        <f t="shared" si="316"/>
        <v>0</v>
      </c>
      <c r="BE430" s="40">
        <v>0</v>
      </c>
      <c r="BF430" s="40">
        <f>430</f>
        <v>430</v>
      </c>
      <c r="BH430" s="40">
        <f t="shared" si="317"/>
        <v>0</v>
      </c>
      <c r="BI430" s="40">
        <f t="shared" si="318"/>
        <v>0</v>
      </c>
      <c r="BJ430" s="40">
        <f t="shared" si="319"/>
        <v>0</v>
      </c>
      <c r="BK430" s="40"/>
      <c r="BL430" s="40">
        <v>89</v>
      </c>
    </row>
    <row r="431" spans="1:64" ht="15" customHeight="1">
      <c r="A431" s="19" t="s">
        <v>303</v>
      </c>
      <c r="B431" s="59" t="s">
        <v>700</v>
      </c>
      <c r="C431" s="76" t="s">
        <v>1270</v>
      </c>
      <c r="D431" s="76"/>
      <c r="E431" s="76"/>
      <c r="F431" s="76"/>
      <c r="G431" s="59" t="s">
        <v>312</v>
      </c>
      <c r="H431" s="40">
        <v>47</v>
      </c>
      <c r="I431" s="40">
        <v>0</v>
      </c>
      <c r="J431" s="40">
        <f t="shared" si="298"/>
        <v>0</v>
      </c>
      <c r="K431" s="40">
        <f t="shared" si="299"/>
        <v>0</v>
      </c>
      <c r="L431" s="40">
        <f t="shared" si="300"/>
        <v>0</v>
      </c>
      <c r="M431" s="69" t="s">
        <v>868</v>
      </c>
      <c r="Z431" s="40">
        <f t="shared" si="301"/>
        <v>0</v>
      </c>
      <c r="AB431" s="40">
        <f t="shared" si="302"/>
        <v>0</v>
      </c>
      <c r="AC431" s="40">
        <f t="shared" si="303"/>
        <v>0</v>
      </c>
      <c r="AD431" s="40">
        <f t="shared" si="304"/>
        <v>0</v>
      </c>
      <c r="AE431" s="40">
        <f t="shared" si="305"/>
        <v>0</v>
      </c>
      <c r="AF431" s="40">
        <f t="shared" si="306"/>
        <v>0</v>
      </c>
      <c r="AG431" s="40">
        <f t="shared" si="307"/>
        <v>0</v>
      </c>
      <c r="AH431" s="40">
        <f t="shared" si="308"/>
        <v>0</v>
      </c>
      <c r="AI431" s="11" t="s">
        <v>1271</v>
      </c>
      <c r="AJ431" s="40">
        <f t="shared" si="309"/>
        <v>0</v>
      </c>
      <c r="AK431" s="40">
        <f t="shared" si="310"/>
        <v>0</v>
      </c>
      <c r="AL431" s="40">
        <f t="shared" si="311"/>
        <v>0</v>
      </c>
      <c r="AN431" s="40">
        <v>21</v>
      </c>
      <c r="AO431" s="40">
        <f>I431*0</f>
        <v>0</v>
      </c>
      <c r="AP431" s="40">
        <f>I431*(1-0)</f>
        <v>0</v>
      </c>
      <c r="AQ431" s="17" t="s">
        <v>1260</v>
      </c>
      <c r="AV431" s="40">
        <f t="shared" si="312"/>
        <v>0</v>
      </c>
      <c r="AW431" s="40">
        <f t="shared" si="313"/>
        <v>0</v>
      </c>
      <c r="AX431" s="40">
        <f t="shared" si="314"/>
        <v>0</v>
      </c>
      <c r="AY431" s="17" t="s">
        <v>106</v>
      </c>
      <c r="AZ431" s="17" t="s">
        <v>151</v>
      </c>
      <c r="BA431" s="11" t="s">
        <v>140</v>
      </c>
      <c r="BC431" s="40">
        <f t="shared" si="315"/>
        <v>0</v>
      </c>
      <c r="BD431" s="40">
        <f t="shared" si="316"/>
        <v>0</v>
      </c>
      <c r="BE431" s="40">
        <v>0</v>
      </c>
      <c r="BF431" s="40">
        <f>431</f>
        <v>431</v>
      </c>
      <c r="BH431" s="40">
        <f t="shared" si="317"/>
        <v>0</v>
      </c>
      <c r="BI431" s="40">
        <f t="shared" si="318"/>
        <v>0</v>
      </c>
      <c r="BJ431" s="40">
        <f t="shared" si="319"/>
        <v>0</v>
      </c>
      <c r="BK431" s="40"/>
      <c r="BL431" s="40">
        <v>89</v>
      </c>
    </row>
    <row r="432" spans="1:64" ht="15" customHeight="1">
      <c r="A432" s="19" t="s">
        <v>381</v>
      </c>
      <c r="B432" s="59" t="s">
        <v>342</v>
      </c>
      <c r="C432" s="76" t="s">
        <v>334</v>
      </c>
      <c r="D432" s="76"/>
      <c r="E432" s="76"/>
      <c r="F432" s="76"/>
      <c r="G432" s="59" t="s">
        <v>312</v>
      </c>
      <c r="H432" s="40">
        <v>47</v>
      </c>
      <c r="I432" s="40">
        <v>0</v>
      </c>
      <c r="J432" s="40">
        <f t="shared" si="298"/>
        <v>0</v>
      </c>
      <c r="K432" s="40">
        <f t="shared" si="299"/>
        <v>0</v>
      </c>
      <c r="L432" s="40">
        <f t="shared" si="300"/>
        <v>0</v>
      </c>
      <c r="M432" s="69" t="s">
        <v>868</v>
      </c>
      <c r="Z432" s="40">
        <f t="shared" si="301"/>
        <v>0</v>
      </c>
      <c r="AB432" s="40">
        <f t="shared" si="302"/>
        <v>0</v>
      </c>
      <c r="AC432" s="40">
        <f t="shared" si="303"/>
        <v>0</v>
      </c>
      <c r="AD432" s="40">
        <f t="shared" si="304"/>
        <v>0</v>
      </c>
      <c r="AE432" s="40">
        <f t="shared" si="305"/>
        <v>0</v>
      </c>
      <c r="AF432" s="40">
        <f t="shared" si="306"/>
        <v>0</v>
      </c>
      <c r="AG432" s="40">
        <f t="shared" si="307"/>
        <v>0</v>
      </c>
      <c r="AH432" s="40">
        <f t="shared" si="308"/>
        <v>0</v>
      </c>
      <c r="AI432" s="11" t="s">
        <v>1271</v>
      </c>
      <c r="AJ432" s="40">
        <f t="shared" si="309"/>
        <v>0</v>
      </c>
      <c r="AK432" s="40">
        <f t="shared" si="310"/>
        <v>0</v>
      </c>
      <c r="AL432" s="40">
        <f t="shared" si="311"/>
        <v>0</v>
      </c>
      <c r="AN432" s="40">
        <v>21</v>
      </c>
      <c r="AO432" s="40">
        <f>I432*1</f>
        <v>0</v>
      </c>
      <c r="AP432" s="40">
        <f>I432*(1-1)</f>
        <v>0</v>
      </c>
      <c r="AQ432" s="17" t="s">
        <v>1260</v>
      </c>
      <c r="AV432" s="40">
        <f t="shared" si="312"/>
        <v>0</v>
      </c>
      <c r="AW432" s="40">
        <f t="shared" si="313"/>
        <v>0</v>
      </c>
      <c r="AX432" s="40">
        <f t="shared" si="314"/>
        <v>0</v>
      </c>
      <c r="AY432" s="17" t="s">
        <v>106</v>
      </c>
      <c r="AZ432" s="17" t="s">
        <v>151</v>
      </c>
      <c r="BA432" s="11" t="s">
        <v>140</v>
      </c>
      <c r="BC432" s="40">
        <f t="shared" si="315"/>
        <v>0</v>
      </c>
      <c r="BD432" s="40">
        <f t="shared" si="316"/>
        <v>0</v>
      </c>
      <c r="BE432" s="40">
        <v>0</v>
      </c>
      <c r="BF432" s="40">
        <f>432</f>
        <v>432</v>
      </c>
      <c r="BH432" s="40">
        <f t="shared" si="317"/>
        <v>0</v>
      </c>
      <c r="BI432" s="40">
        <f t="shared" si="318"/>
        <v>0</v>
      </c>
      <c r="BJ432" s="40">
        <f t="shared" si="319"/>
        <v>0</v>
      </c>
      <c r="BK432" s="40"/>
      <c r="BL432" s="40">
        <v>89</v>
      </c>
    </row>
    <row r="433" spans="1:64" ht="15" customHeight="1">
      <c r="A433" s="19" t="s">
        <v>1368</v>
      </c>
      <c r="B433" s="59" t="s">
        <v>326</v>
      </c>
      <c r="C433" s="76" t="s">
        <v>47</v>
      </c>
      <c r="D433" s="76"/>
      <c r="E433" s="76"/>
      <c r="F433" s="76"/>
      <c r="G433" s="59" t="s">
        <v>312</v>
      </c>
      <c r="H433" s="40">
        <v>47</v>
      </c>
      <c r="I433" s="40">
        <v>0</v>
      </c>
      <c r="J433" s="40">
        <f t="shared" si="298"/>
        <v>0</v>
      </c>
      <c r="K433" s="40">
        <f t="shared" si="299"/>
        <v>0</v>
      </c>
      <c r="L433" s="40">
        <f t="shared" si="300"/>
        <v>0</v>
      </c>
      <c r="M433" s="69" t="s">
        <v>868</v>
      </c>
      <c r="Z433" s="40">
        <f t="shared" si="301"/>
        <v>0</v>
      </c>
      <c r="AB433" s="40">
        <f t="shared" si="302"/>
        <v>0</v>
      </c>
      <c r="AC433" s="40">
        <f t="shared" si="303"/>
        <v>0</v>
      </c>
      <c r="AD433" s="40">
        <f t="shared" si="304"/>
        <v>0</v>
      </c>
      <c r="AE433" s="40">
        <f t="shared" si="305"/>
        <v>0</v>
      </c>
      <c r="AF433" s="40">
        <f t="shared" si="306"/>
        <v>0</v>
      </c>
      <c r="AG433" s="40">
        <f t="shared" si="307"/>
        <v>0</v>
      </c>
      <c r="AH433" s="40">
        <f t="shared" si="308"/>
        <v>0</v>
      </c>
      <c r="AI433" s="11" t="s">
        <v>1271</v>
      </c>
      <c r="AJ433" s="40">
        <f t="shared" si="309"/>
        <v>0</v>
      </c>
      <c r="AK433" s="40">
        <f t="shared" si="310"/>
        <v>0</v>
      </c>
      <c r="AL433" s="40">
        <f t="shared" si="311"/>
        <v>0</v>
      </c>
      <c r="AN433" s="40">
        <v>21</v>
      </c>
      <c r="AO433" s="40">
        <f>I433*1</f>
        <v>0</v>
      </c>
      <c r="AP433" s="40">
        <f>I433*(1-1)</f>
        <v>0</v>
      </c>
      <c r="AQ433" s="17" t="s">
        <v>1260</v>
      </c>
      <c r="AV433" s="40">
        <f t="shared" si="312"/>
        <v>0</v>
      </c>
      <c r="AW433" s="40">
        <f t="shared" si="313"/>
        <v>0</v>
      </c>
      <c r="AX433" s="40">
        <f t="shared" si="314"/>
        <v>0</v>
      </c>
      <c r="AY433" s="17" t="s">
        <v>106</v>
      </c>
      <c r="AZ433" s="17" t="s">
        <v>151</v>
      </c>
      <c r="BA433" s="11" t="s">
        <v>140</v>
      </c>
      <c r="BC433" s="40">
        <f t="shared" si="315"/>
        <v>0</v>
      </c>
      <c r="BD433" s="40">
        <f t="shared" si="316"/>
        <v>0</v>
      </c>
      <c r="BE433" s="40">
        <v>0</v>
      </c>
      <c r="BF433" s="40">
        <f>433</f>
        <v>433</v>
      </c>
      <c r="BH433" s="40">
        <f t="shared" si="317"/>
        <v>0</v>
      </c>
      <c r="BI433" s="40">
        <f t="shared" si="318"/>
        <v>0</v>
      </c>
      <c r="BJ433" s="40">
        <f t="shared" si="319"/>
        <v>0</v>
      </c>
      <c r="BK433" s="40"/>
      <c r="BL433" s="40">
        <v>89</v>
      </c>
    </row>
    <row r="434" spans="1:64" ht="15" customHeight="1">
      <c r="A434" s="19" t="s">
        <v>133</v>
      </c>
      <c r="B434" s="59" t="s">
        <v>89</v>
      </c>
      <c r="C434" s="76" t="s">
        <v>344</v>
      </c>
      <c r="D434" s="76"/>
      <c r="E434" s="76"/>
      <c r="F434" s="76"/>
      <c r="G434" s="59" t="s">
        <v>312</v>
      </c>
      <c r="H434" s="40">
        <v>47</v>
      </c>
      <c r="I434" s="40">
        <v>0</v>
      </c>
      <c r="J434" s="40">
        <f t="shared" si="298"/>
        <v>0</v>
      </c>
      <c r="K434" s="40">
        <f t="shared" si="299"/>
        <v>0</v>
      </c>
      <c r="L434" s="40">
        <f t="shared" si="300"/>
        <v>0</v>
      </c>
      <c r="M434" s="69" t="s">
        <v>868</v>
      </c>
      <c r="Z434" s="40">
        <f t="shared" si="301"/>
        <v>0</v>
      </c>
      <c r="AB434" s="40">
        <f t="shared" si="302"/>
        <v>0</v>
      </c>
      <c r="AC434" s="40">
        <f t="shared" si="303"/>
        <v>0</v>
      </c>
      <c r="AD434" s="40">
        <f t="shared" si="304"/>
        <v>0</v>
      </c>
      <c r="AE434" s="40">
        <f t="shared" si="305"/>
        <v>0</v>
      </c>
      <c r="AF434" s="40">
        <f t="shared" si="306"/>
        <v>0</v>
      </c>
      <c r="AG434" s="40">
        <f t="shared" si="307"/>
        <v>0</v>
      </c>
      <c r="AH434" s="40">
        <f t="shared" si="308"/>
        <v>0</v>
      </c>
      <c r="AI434" s="11" t="s">
        <v>1271</v>
      </c>
      <c r="AJ434" s="40">
        <f t="shared" si="309"/>
        <v>0</v>
      </c>
      <c r="AK434" s="40">
        <f t="shared" si="310"/>
        <v>0</v>
      </c>
      <c r="AL434" s="40">
        <f t="shared" si="311"/>
        <v>0</v>
      </c>
      <c r="AN434" s="40">
        <v>21</v>
      </c>
      <c r="AO434" s="40">
        <f>I434*1</f>
        <v>0</v>
      </c>
      <c r="AP434" s="40">
        <f>I434*(1-1)</f>
        <v>0</v>
      </c>
      <c r="AQ434" s="17" t="s">
        <v>1260</v>
      </c>
      <c r="AV434" s="40">
        <f t="shared" si="312"/>
        <v>0</v>
      </c>
      <c r="AW434" s="40">
        <f t="shared" si="313"/>
        <v>0</v>
      </c>
      <c r="AX434" s="40">
        <f t="shared" si="314"/>
        <v>0</v>
      </c>
      <c r="AY434" s="17" t="s">
        <v>106</v>
      </c>
      <c r="AZ434" s="17" t="s">
        <v>151</v>
      </c>
      <c r="BA434" s="11" t="s">
        <v>140</v>
      </c>
      <c r="BC434" s="40">
        <f t="shared" si="315"/>
        <v>0</v>
      </c>
      <c r="BD434" s="40">
        <f t="shared" si="316"/>
        <v>0</v>
      </c>
      <c r="BE434" s="40">
        <v>0</v>
      </c>
      <c r="BF434" s="40">
        <f>434</f>
        <v>434</v>
      </c>
      <c r="BH434" s="40">
        <f t="shared" si="317"/>
        <v>0</v>
      </c>
      <c r="BI434" s="40">
        <f t="shared" si="318"/>
        <v>0</v>
      </c>
      <c r="BJ434" s="40">
        <f t="shared" si="319"/>
        <v>0</v>
      </c>
      <c r="BK434" s="40"/>
      <c r="BL434" s="40">
        <v>89</v>
      </c>
    </row>
    <row r="435" spans="1:47" ht="15" customHeight="1">
      <c r="A435" s="24" t="s">
        <v>878</v>
      </c>
      <c r="B435" s="66" t="s">
        <v>61</v>
      </c>
      <c r="C435" s="92" t="s">
        <v>444</v>
      </c>
      <c r="D435" s="92"/>
      <c r="E435" s="92"/>
      <c r="F435" s="92"/>
      <c r="G435" s="3" t="s">
        <v>1172</v>
      </c>
      <c r="H435" s="3" t="s">
        <v>1172</v>
      </c>
      <c r="I435" s="3" t="s">
        <v>1172</v>
      </c>
      <c r="J435" s="63">
        <f>SUM(J436:J436)</f>
        <v>0</v>
      </c>
      <c r="K435" s="63">
        <f>SUM(K436:K436)</f>
        <v>0</v>
      </c>
      <c r="L435" s="63">
        <f>SUM(L436:L436)</f>
        <v>0</v>
      </c>
      <c r="M435" s="4" t="s">
        <v>878</v>
      </c>
      <c r="AI435" s="11" t="s">
        <v>1271</v>
      </c>
      <c r="AS435" s="63">
        <f>SUM(AJ436:AJ436)</f>
        <v>0</v>
      </c>
      <c r="AT435" s="63">
        <f>SUM(AK436:AK436)</f>
        <v>0</v>
      </c>
      <c r="AU435" s="63">
        <f>SUM(AL436:AL436)</f>
        <v>0</v>
      </c>
    </row>
    <row r="436" spans="1:64" ht="15" customHeight="1">
      <c r="A436" s="19" t="s">
        <v>471</v>
      </c>
      <c r="B436" s="59" t="s">
        <v>24</v>
      </c>
      <c r="C436" s="76" t="s">
        <v>1287</v>
      </c>
      <c r="D436" s="76"/>
      <c r="E436" s="76"/>
      <c r="F436" s="76"/>
      <c r="G436" s="59" t="s">
        <v>1041</v>
      </c>
      <c r="H436" s="40">
        <v>712.2</v>
      </c>
      <c r="I436" s="40">
        <v>0</v>
      </c>
      <c r="J436" s="40">
        <f>H436*AO436</f>
        <v>0</v>
      </c>
      <c r="K436" s="40">
        <f>H436*AP436</f>
        <v>0</v>
      </c>
      <c r="L436" s="40">
        <f>H436*I436</f>
        <v>0</v>
      </c>
      <c r="M436" s="69" t="s">
        <v>868</v>
      </c>
      <c r="Z436" s="40">
        <f>IF(AQ436="5",BJ436,0)</f>
        <v>0</v>
      </c>
      <c r="AB436" s="40">
        <f>IF(AQ436="1",BH436,0)</f>
        <v>0</v>
      </c>
      <c r="AC436" s="40">
        <f>IF(AQ436="1",BI436,0)</f>
        <v>0</v>
      </c>
      <c r="AD436" s="40">
        <f>IF(AQ436="7",BH436,0)</f>
        <v>0</v>
      </c>
      <c r="AE436" s="40">
        <f>IF(AQ436="7",BI436,0)</f>
        <v>0</v>
      </c>
      <c r="AF436" s="40">
        <f>IF(AQ436="2",BH436,0)</f>
        <v>0</v>
      </c>
      <c r="AG436" s="40">
        <f>IF(AQ436="2",BI436,0)</f>
        <v>0</v>
      </c>
      <c r="AH436" s="40">
        <f>IF(AQ436="0",BJ436,0)</f>
        <v>0</v>
      </c>
      <c r="AI436" s="11" t="s">
        <v>1271</v>
      </c>
      <c r="AJ436" s="40">
        <f>IF(AN436=0,L436,0)</f>
        <v>0</v>
      </c>
      <c r="AK436" s="40">
        <f>IF(AN436=15,L436,0)</f>
        <v>0</v>
      </c>
      <c r="AL436" s="40">
        <f>IF(AN436=21,L436,0)</f>
        <v>0</v>
      </c>
      <c r="AN436" s="40">
        <v>21</v>
      </c>
      <c r="AO436" s="40">
        <f>I436*0.56381817984467</f>
        <v>0</v>
      </c>
      <c r="AP436" s="40">
        <f>I436*(1-0.56381817984467)</f>
        <v>0</v>
      </c>
      <c r="AQ436" s="17" t="s">
        <v>1260</v>
      </c>
      <c r="AV436" s="40">
        <f>AW436+AX436</f>
        <v>0</v>
      </c>
      <c r="AW436" s="40">
        <f>H436*AO436</f>
        <v>0</v>
      </c>
      <c r="AX436" s="40">
        <f>H436*AP436</f>
        <v>0</v>
      </c>
      <c r="AY436" s="17" t="s">
        <v>1233</v>
      </c>
      <c r="AZ436" s="17" t="s">
        <v>965</v>
      </c>
      <c r="BA436" s="11" t="s">
        <v>140</v>
      </c>
      <c r="BC436" s="40">
        <f>AW436+AX436</f>
        <v>0</v>
      </c>
      <c r="BD436" s="40">
        <f>I436/(100-BE436)*100</f>
        <v>0</v>
      </c>
      <c r="BE436" s="40">
        <v>0</v>
      </c>
      <c r="BF436" s="40">
        <f>436</f>
        <v>436</v>
      </c>
      <c r="BH436" s="40">
        <f>H436*AO436</f>
        <v>0</v>
      </c>
      <c r="BI436" s="40">
        <f>H436*AP436</f>
        <v>0</v>
      </c>
      <c r="BJ436" s="40">
        <f>H436*I436</f>
        <v>0</v>
      </c>
      <c r="BK436" s="40"/>
      <c r="BL436" s="40">
        <v>91</v>
      </c>
    </row>
    <row r="437" spans="1:47" ht="15" customHeight="1">
      <c r="A437" s="24" t="s">
        <v>878</v>
      </c>
      <c r="B437" s="66" t="s">
        <v>1335</v>
      </c>
      <c r="C437" s="92" t="s">
        <v>933</v>
      </c>
      <c r="D437" s="92"/>
      <c r="E437" s="92"/>
      <c r="F437" s="92"/>
      <c r="G437" s="3" t="s">
        <v>1172</v>
      </c>
      <c r="H437" s="3" t="s">
        <v>1172</v>
      </c>
      <c r="I437" s="3" t="s">
        <v>1172</v>
      </c>
      <c r="J437" s="63">
        <f>SUM(J438:J443)</f>
        <v>0</v>
      </c>
      <c r="K437" s="63">
        <f>SUM(K438:K443)</f>
        <v>0</v>
      </c>
      <c r="L437" s="63">
        <f>SUM(L438:L443)</f>
        <v>0</v>
      </c>
      <c r="M437" s="4" t="s">
        <v>878</v>
      </c>
      <c r="AI437" s="11" t="s">
        <v>1271</v>
      </c>
      <c r="AS437" s="63">
        <f>SUM(AJ438:AJ443)</f>
        <v>0</v>
      </c>
      <c r="AT437" s="63">
        <f>SUM(AK438:AK443)</f>
        <v>0</v>
      </c>
      <c r="AU437" s="63">
        <f>SUM(AL438:AL443)</f>
        <v>0</v>
      </c>
    </row>
    <row r="438" spans="1:64" ht="15" customHeight="1">
      <c r="A438" s="19" t="s">
        <v>624</v>
      </c>
      <c r="B438" s="59" t="s">
        <v>387</v>
      </c>
      <c r="C438" s="76" t="s">
        <v>1167</v>
      </c>
      <c r="D438" s="76"/>
      <c r="E438" s="76"/>
      <c r="F438" s="76"/>
      <c r="G438" s="59" t="s">
        <v>1041</v>
      </c>
      <c r="H438" s="40">
        <v>4</v>
      </c>
      <c r="I438" s="40">
        <v>0</v>
      </c>
      <c r="J438" s="40">
        <f aca="true" t="shared" si="320" ref="J438:J443">H438*AO438</f>
        <v>0</v>
      </c>
      <c r="K438" s="40">
        <f aca="true" t="shared" si="321" ref="K438:K443">H438*AP438</f>
        <v>0</v>
      </c>
      <c r="L438" s="40">
        <f aca="true" t="shared" si="322" ref="L438:L443">H438*I438</f>
        <v>0</v>
      </c>
      <c r="M438" s="69" t="s">
        <v>868</v>
      </c>
      <c r="Z438" s="40">
        <f aca="true" t="shared" si="323" ref="Z438:Z443">IF(AQ438="5",BJ438,0)</f>
        <v>0</v>
      </c>
      <c r="AB438" s="40">
        <f aca="true" t="shared" si="324" ref="AB438:AB443">IF(AQ438="1",BH438,0)</f>
        <v>0</v>
      </c>
      <c r="AC438" s="40">
        <f aca="true" t="shared" si="325" ref="AC438:AC443">IF(AQ438="1",BI438,0)</f>
        <v>0</v>
      </c>
      <c r="AD438" s="40">
        <f aca="true" t="shared" si="326" ref="AD438:AD443">IF(AQ438="7",BH438,0)</f>
        <v>0</v>
      </c>
      <c r="AE438" s="40">
        <f aca="true" t="shared" si="327" ref="AE438:AE443">IF(AQ438="7",BI438,0)</f>
        <v>0</v>
      </c>
      <c r="AF438" s="40">
        <f aca="true" t="shared" si="328" ref="AF438:AF443">IF(AQ438="2",BH438,0)</f>
        <v>0</v>
      </c>
      <c r="AG438" s="40">
        <f aca="true" t="shared" si="329" ref="AG438:AG443">IF(AQ438="2",BI438,0)</f>
        <v>0</v>
      </c>
      <c r="AH438" s="40">
        <f aca="true" t="shared" si="330" ref="AH438:AH443">IF(AQ438="0",BJ438,0)</f>
        <v>0</v>
      </c>
      <c r="AI438" s="11" t="s">
        <v>1271</v>
      </c>
      <c r="AJ438" s="40">
        <f aca="true" t="shared" si="331" ref="AJ438:AJ443">IF(AN438=0,L438,0)</f>
        <v>0</v>
      </c>
      <c r="AK438" s="40">
        <f aca="true" t="shared" si="332" ref="AK438:AK443">IF(AN438=15,L438,0)</f>
        <v>0</v>
      </c>
      <c r="AL438" s="40">
        <f aca="true" t="shared" si="333" ref="AL438:AL443">IF(AN438=21,L438,0)</f>
        <v>0</v>
      </c>
      <c r="AN438" s="40">
        <v>21</v>
      </c>
      <c r="AO438" s="40">
        <f>I438*0.32257825568978</f>
        <v>0</v>
      </c>
      <c r="AP438" s="40">
        <f>I438*(1-0.32257825568978)</f>
        <v>0</v>
      </c>
      <c r="AQ438" s="17" t="s">
        <v>873</v>
      </c>
      <c r="AV438" s="40">
        <f aca="true" t="shared" si="334" ref="AV438:AV443">AW438+AX438</f>
        <v>0</v>
      </c>
      <c r="AW438" s="40">
        <f aca="true" t="shared" si="335" ref="AW438:AW443">H438*AO438</f>
        <v>0</v>
      </c>
      <c r="AX438" s="40">
        <f aca="true" t="shared" si="336" ref="AX438:AX443">H438*AP438</f>
        <v>0</v>
      </c>
      <c r="AY438" s="17" t="s">
        <v>1173</v>
      </c>
      <c r="AZ438" s="17" t="s">
        <v>965</v>
      </c>
      <c r="BA438" s="11" t="s">
        <v>140</v>
      </c>
      <c r="BC438" s="40">
        <f aca="true" t="shared" si="337" ref="BC438:BC443">AW438+AX438</f>
        <v>0</v>
      </c>
      <c r="BD438" s="40">
        <f aca="true" t="shared" si="338" ref="BD438:BD443">I438/(100-BE438)*100</f>
        <v>0</v>
      </c>
      <c r="BE438" s="40">
        <v>0</v>
      </c>
      <c r="BF438" s="40">
        <f>438</f>
        <v>438</v>
      </c>
      <c r="BH438" s="40">
        <f aca="true" t="shared" si="339" ref="BH438:BH443">H438*AO438</f>
        <v>0</v>
      </c>
      <c r="BI438" s="40">
        <f aca="true" t="shared" si="340" ref="BI438:BI443">H438*AP438</f>
        <v>0</v>
      </c>
      <c r="BJ438" s="40">
        <f aca="true" t="shared" si="341" ref="BJ438:BJ443">H438*I438</f>
        <v>0</v>
      </c>
      <c r="BK438" s="40"/>
      <c r="BL438" s="40"/>
    </row>
    <row r="439" spans="1:64" ht="15" customHeight="1">
      <c r="A439" s="19" t="s">
        <v>388</v>
      </c>
      <c r="B439" s="59" t="s">
        <v>109</v>
      </c>
      <c r="C439" s="76" t="s">
        <v>317</v>
      </c>
      <c r="D439" s="76"/>
      <c r="E439" s="76"/>
      <c r="F439" s="76"/>
      <c r="G439" s="59" t="s">
        <v>312</v>
      </c>
      <c r="H439" s="40">
        <v>2</v>
      </c>
      <c r="I439" s="40">
        <v>0</v>
      </c>
      <c r="J439" s="40">
        <f t="shared" si="320"/>
        <v>0</v>
      </c>
      <c r="K439" s="40">
        <f t="shared" si="321"/>
        <v>0</v>
      </c>
      <c r="L439" s="40">
        <f t="shared" si="322"/>
        <v>0</v>
      </c>
      <c r="M439" s="69" t="s">
        <v>868</v>
      </c>
      <c r="Z439" s="40">
        <f t="shared" si="323"/>
        <v>0</v>
      </c>
      <c r="AB439" s="40">
        <f t="shared" si="324"/>
        <v>0</v>
      </c>
      <c r="AC439" s="40">
        <f t="shared" si="325"/>
        <v>0</v>
      </c>
      <c r="AD439" s="40">
        <f t="shared" si="326"/>
        <v>0</v>
      </c>
      <c r="AE439" s="40">
        <f t="shared" si="327"/>
        <v>0</v>
      </c>
      <c r="AF439" s="40">
        <f t="shared" si="328"/>
        <v>0</v>
      </c>
      <c r="AG439" s="40">
        <f t="shared" si="329"/>
        <v>0</v>
      </c>
      <c r="AH439" s="40">
        <f t="shared" si="330"/>
        <v>0</v>
      </c>
      <c r="AI439" s="11" t="s">
        <v>1271</v>
      </c>
      <c r="AJ439" s="40">
        <f t="shared" si="331"/>
        <v>0</v>
      </c>
      <c r="AK439" s="40">
        <f t="shared" si="332"/>
        <v>0</v>
      </c>
      <c r="AL439" s="40">
        <f t="shared" si="333"/>
        <v>0</v>
      </c>
      <c r="AN439" s="40">
        <v>21</v>
      </c>
      <c r="AO439" s="40">
        <f>I439*0</f>
        <v>0</v>
      </c>
      <c r="AP439" s="40">
        <f>I439*(1-0)</f>
        <v>0</v>
      </c>
      <c r="AQ439" s="17" t="s">
        <v>873</v>
      </c>
      <c r="AV439" s="40">
        <f t="shared" si="334"/>
        <v>0</v>
      </c>
      <c r="AW439" s="40">
        <f t="shared" si="335"/>
        <v>0</v>
      </c>
      <c r="AX439" s="40">
        <f t="shared" si="336"/>
        <v>0</v>
      </c>
      <c r="AY439" s="17" t="s">
        <v>1173</v>
      </c>
      <c r="AZ439" s="17" t="s">
        <v>965</v>
      </c>
      <c r="BA439" s="11" t="s">
        <v>140</v>
      </c>
      <c r="BC439" s="40">
        <f t="shared" si="337"/>
        <v>0</v>
      </c>
      <c r="BD439" s="40">
        <f t="shared" si="338"/>
        <v>0</v>
      </c>
      <c r="BE439" s="40">
        <v>0</v>
      </c>
      <c r="BF439" s="40">
        <f>439</f>
        <v>439</v>
      </c>
      <c r="BH439" s="40">
        <f t="shared" si="339"/>
        <v>0</v>
      </c>
      <c r="BI439" s="40">
        <f t="shared" si="340"/>
        <v>0</v>
      </c>
      <c r="BJ439" s="40">
        <f t="shared" si="341"/>
        <v>0</v>
      </c>
      <c r="BK439" s="40"/>
      <c r="BL439" s="40"/>
    </row>
    <row r="440" spans="1:64" ht="15" customHeight="1">
      <c r="A440" s="19" t="s">
        <v>276</v>
      </c>
      <c r="B440" s="59" t="s">
        <v>340</v>
      </c>
      <c r="C440" s="76" t="s">
        <v>1351</v>
      </c>
      <c r="D440" s="76"/>
      <c r="E440" s="76"/>
      <c r="F440" s="76"/>
      <c r="G440" s="59" t="s">
        <v>312</v>
      </c>
      <c r="H440" s="40">
        <v>2</v>
      </c>
      <c r="I440" s="40">
        <v>0</v>
      </c>
      <c r="J440" s="40">
        <f t="shared" si="320"/>
        <v>0</v>
      </c>
      <c r="K440" s="40">
        <f t="shared" si="321"/>
        <v>0</v>
      </c>
      <c r="L440" s="40">
        <f t="shared" si="322"/>
        <v>0</v>
      </c>
      <c r="M440" s="69" t="s">
        <v>868</v>
      </c>
      <c r="Z440" s="40">
        <f t="shared" si="323"/>
        <v>0</v>
      </c>
      <c r="AB440" s="40">
        <f t="shared" si="324"/>
        <v>0</v>
      </c>
      <c r="AC440" s="40">
        <f t="shared" si="325"/>
        <v>0</v>
      </c>
      <c r="AD440" s="40">
        <f t="shared" si="326"/>
        <v>0</v>
      </c>
      <c r="AE440" s="40">
        <f t="shared" si="327"/>
        <v>0</v>
      </c>
      <c r="AF440" s="40">
        <f t="shared" si="328"/>
        <v>0</v>
      </c>
      <c r="AG440" s="40">
        <f t="shared" si="329"/>
        <v>0</v>
      </c>
      <c r="AH440" s="40">
        <f t="shared" si="330"/>
        <v>0</v>
      </c>
      <c r="AI440" s="11" t="s">
        <v>1271</v>
      </c>
      <c r="AJ440" s="40">
        <f t="shared" si="331"/>
        <v>0</v>
      </c>
      <c r="AK440" s="40">
        <f t="shared" si="332"/>
        <v>0</v>
      </c>
      <c r="AL440" s="40">
        <f t="shared" si="333"/>
        <v>0</v>
      </c>
      <c r="AN440" s="40">
        <v>21</v>
      </c>
      <c r="AO440" s="40">
        <f>I440*1</f>
        <v>0</v>
      </c>
      <c r="AP440" s="40">
        <f>I440*(1-1)</f>
        <v>0</v>
      </c>
      <c r="AQ440" s="17" t="s">
        <v>1260</v>
      </c>
      <c r="AV440" s="40">
        <f t="shared" si="334"/>
        <v>0</v>
      </c>
      <c r="AW440" s="40">
        <f t="shared" si="335"/>
        <v>0</v>
      </c>
      <c r="AX440" s="40">
        <f t="shared" si="336"/>
        <v>0</v>
      </c>
      <c r="AY440" s="17" t="s">
        <v>1173</v>
      </c>
      <c r="AZ440" s="17" t="s">
        <v>965</v>
      </c>
      <c r="BA440" s="11" t="s">
        <v>140</v>
      </c>
      <c r="BC440" s="40">
        <f t="shared" si="337"/>
        <v>0</v>
      </c>
      <c r="BD440" s="40">
        <f t="shared" si="338"/>
        <v>0</v>
      </c>
      <c r="BE440" s="40">
        <v>0</v>
      </c>
      <c r="BF440" s="40">
        <f>440</f>
        <v>440</v>
      </c>
      <c r="BH440" s="40">
        <f t="shared" si="339"/>
        <v>0</v>
      </c>
      <c r="BI440" s="40">
        <f t="shared" si="340"/>
        <v>0</v>
      </c>
      <c r="BJ440" s="40">
        <f t="shared" si="341"/>
        <v>0</v>
      </c>
      <c r="BK440" s="40"/>
      <c r="BL440" s="40"/>
    </row>
    <row r="441" spans="1:64" ht="15" customHeight="1">
      <c r="A441" s="19" t="s">
        <v>177</v>
      </c>
      <c r="B441" s="59" t="s">
        <v>713</v>
      </c>
      <c r="C441" s="76" t="s">
        <v>1311</v>
      </c>
      <c r="D441" s="76"/>
      <c r="E441" s="76"/>
      <c r="F441" s="76"/>
      <c r="G441" s="59" t="s">
        <v>312</v>
      </c>
      <c r="H441" s="40">
        <v>5</v>
      </c>
      <c r="I441" s="40">
        <v>0</v>
      </c>
      <c r="J441" s="40">
        <f t="shared" si="320"/>
        <v>0</v>
      </c>
      <c r="K441" s="40">
        <f t="shared" si="321"/>
        <v>0</v>
      </c>
      <c r="L441" s="40">
        <f t="shared" si="322"/>
        <v>0</v>
      </c>
      <c r="M441" s="69" t="s">
        <v>868</v>
      </c>
      <c r="Z441" s="40">
        <f t="shared" si="323"/>
        <v>0</v>
      </c>
      <c r="AB441" s="40">
        <f t="shared" si="324"/>
        <v>0</v>
      </c>
      <c r="AC441" s="40">
        <f t="shared" si="325"/>
        <v>0</v>
      </c>
      <c r="AD441" s="40">
        <f t="shared" si="326"/>
        <v>0</v>
      </c>
      <c r="AE441" s="40">
        <f t="shared" si="327"/>
        <v>0</v>
      </c>
      <c r="AF441" s="40">
        <f t="shared" si="328"/>
        <v>0</v>
      </c>
      <c r="AG441" s="40">
        <f t="shared" si="329"/>
        <v>0</v>
      </c>
      <c r="AH441" s="40">
        <f t="shared" si="330"/>
        <v>0</v>
      </c>
      <c r="AI441" s="11" t="s">
        <v>1271</v>
      </c>
      <c r="AJ441" s="40">
        <f t="shared" si="331"/>
        <v>0</v>
      </c>
      <c r="AK441" s="40">
        <f t="shared" si="332"/>
        <v>0</v>
      </c>
      <c r="AL441" s="40">
        <f t="shared" si="333"/>
        <v>0</v>
      </c>
      <c r="AN441" s="40">
        <v>21</v>
      </c>
      <c r="AO441" s="40">
        <f>I441*0</f>
        <v>0</v>
      </c>
      <c r="AP441" s="40">
        <f>I441*(1-0)</f>
        <v>0</v>
      </c>
      <c r="AQ441" s="17" t="s">
        <v>873</v>
      </c>
      <c r="AV441" s="40">
        <f t="shared" si="334"/>
        <v>0</v>
      </c>
      <c r="AW441" s="40">
        <f t="shared" si="335"/>
        <v>0</v>
      </c>
      <c r="AX441" s="40">
        <f t="shared" si="336"/>
        <v>0</v>
      </c>
      <c r="AY441" s="17" t="s">
        <v>1173</v>
      </c>
      <c r="AZ441" s="17" t="s">
        <v>965</v>
      </c>
      <c r="BA441" s="11" t="s">
        <v>140</v>
      </c>
      <c r="BC441" s="40">
        <f t="shared" si="337"/>
        <v>0</v>
      </c>
      <c r="BD441" s="40">
        <f t="shared" si="338"/>
        <v>0</v>
      </c>
      <c r="BE441" s="40">
        <v>0</v>
      </c>
      <c r="BF441" s="40">
        <f>441</f>
        <v>441</v>
      </c>
      <c r="BH441" s="40">
        <f t="shared" si="339"/>
        <v>0</v>
      </c>
      <c r="BI441" s="40">
        <f t="shared" si="340"/>
        <v>0</v>
      </c>
      <c r="BJ441" s="40">
        <f t="shared" si="341"/>
        <v>0</v>
      </c>
      <c r="BK441" s="40"/>
      <c r="BL441" s="40"/>
    </row>
    <row r="442" spans="1:64" ht="15" customHeight="1">
      <c r="A442" s="19" t="s">
        <v>706</v>
      </c>
      <c r="B442" s="59" t="s">
        <v>1237</v>
      </c>
      <c r="C442" s="76" t="s">
        <v>533</v>
      </c>
      <c r="D442" s="76"/>
      <c r="E442" s="76"/>
      <c r="F442" s="76"/>
      <c r="G442" s="59" t="s">
        <v>312</v>
      </c>
      <c r="H442" s="40">
        <v>5</v>
      </c>
      <c r="I442" s="40">
        <v>0</v>
      </c>
      <c r="J442" s="40">
        <f t="shared" si="320"/>
        <v>0</v>
      </c>
      <c r="K442" s="40">
        <f t="shared" si="321"/>
        <v>0</v>
      </c>
      <c r="L442" s="40">
        <f t="shared" si="322"/>
        <v>0</v>
      </c>
      <c r="M442" s="69" t="s">
        <v>868</v>
      </c>
      <c r="Z442" s="40">
        <f t="shared" si="323"/>
        <v>0</v>
      </c>
      <c r="AB442" s="40">
        <f t="shared" si="324"/>
        <v>0</v>
      </c>
      <c r="AC442" s="40">
        <f t="shared" si="325"/>
        <v>0</v>
      </c>
      <c r="AD442" s="40">
        <f t="shared" si="326"/>
        <v>0</v>
      </c>
      <c r="AE442" s="40">
        <f t="shared" si="327"/>
        <v>0</v>
      </c>
      <c r="AF442" s="40">
        <f t="shared" si="328"/>
        <v>0</v>
      </c>
      <c r="AG442" s="40">
        <f t="shared" si="329"/>
        <v>0</v>
      </c>
      <c r="AH442" s="40">
        <f t="shared" si="330"/>
        <v>0</v>
      </c>
      <c r="AI442" s="11" t="s">
        <v>1271</v>
      </c>
      <c r="AJ442" s="40">
        <f t="shared" si="331"/>
        <v>0</v>
      </c>
      <c r="AK442" s="40">
        <f t="shared" si="332"/>
        <v>0</v>
      </c>
      <c r="AL442" s="40">
        <f t="shared" si="333"/>
        <v>0</v>
      </c>
      <c r="AN442" s="40">
        <v>21</v>
      </c>
      <c r="AO442" s="40">
        <f>I442*1</f>
        <v>0</v>
      </c>
      <c r="AP442" s="40">
        <f>I442*(1-1)</f>
        <v>0</v>
      </c>
      <c r="AQ442" s="17" t="s">
        <v>1260</v>
      </c>
      <c r="AV442" s="40">
        <f t="shared" si="334"/>
        <v>0</v>
      </c>
      <c r="AW442" s="40">
        <f t="shared" si="335"/>
        <v>0</v>
      </c>
      <c r="AX442" s="40">
        <f t="shared" si="336"/>
        <v>0</v>
      </c>
      <c r="AY442" s="17" t="s">
        <v>1173</v>
      </c>
      <c r="AZ442" s="17" t="s">
        <v>965</v>
      </c>
      <c r="BA442" s="11" t="s">
        <v>140</v>
      </c>
      <c r="BC442" s="40">
        <f t="shared" si="337"/>
        <v>0</v>
      </c>
      <c r="BD442" s="40">
        <f t="shared" si="338"/>
        <v>0</v>
      </c>
      <c r="BE442" s="40">
        <v>0</v>
      </c>
      <c r="BF442" s="40">
        <f>442</f>
        <v>442</v>
      </c>
      <c r="BH442" s="40">
        <f t="shared" si="339"/>
        <v>0</v>
      </c>
      <c r="BI442" s="40">
        <f t="shared" si="340"/>
        <v>0</v>
      </c>
      <c r="BJ442" s="40">
        <f t="shared" si="341"/>
        <v>0</v>
      </c>
      <c r="BK442" s="40"/>
      <c r="BL442" s="40"/>
    </row>
    <row r="443" spans="1:64" ht="15" customHeight="1">
      <c r="A443" s="19" t="s">
        <v>1187</v>
      </c>
      <c r="B443" s="59" t="s">
        <v>1095</v>
      </c>
      <c r="C443" s="76" t="s">
        <v>862</v>
      </c>
      <c r="D443" s="76"/>
      <c r="E443" s="76"/>
      <c r="F443" s="76"/>
      <c r="G443" s="59" t="s">
        <v>565</v>
      </c>
      <c r="H443" s="40">
        <v>663.5945</v>
      </c>
      <c r="I443" s="40">
        <v>0</v>
      </c>
      <c r="J443" s="40">
        <f t="shared" si="320"/>
        <v>0</v>
      </c>
      <c r="K443" s="40">
        <f t="shared" si="321"/>
        <v>0</v>
      </c>
      <c r="L443" s="40">
        <f t="shared" si="322"/>
        <v>0</v>
      </c>
      <c r="M443" s="69" t="s">
        <v>868</v>
      </c>
      <c r="Z443" s="40">
        <f t="shared" si="323"/>
        <v>0</v>
      </c>
      <c r="AB443" s="40">
        <f t="shared" si="324"/>
        <v>0</v>
      </c>
      <c r="AC443" s="40">
        <f t="shared" si="325"/>
        <v>0</v>
      </c>
      <c r="AD443" s="40">
        <f t="shared" si="326"/>
        <v>0</v>
      </c>
      <c r="AE443" s="40">
        <f t="shared" si="327"/>
        <v>0</v>
      </c>
      <c r="AF443" s="40">
        <f t="shared" si="328"/>
        <v>0</v>
      </c>
      <c r="AG443" s="40">
        <f t="shared" si="329"/>
        <v>0</v>
      </c>
      <c r="AH443" s="40">
        <f t="shared" si="330"/>
        <v>0</v>
      </c>
      <c r="AI443" s="11" t="s">
        <v>1271</v>
      </c>
      <c r="AJ443" s="40">
        <f t="shared" si="331"/>
        <v>0</v>
      </c>
      <c r="AK443" s="40">
        <f t="shared" si="332"/>
        <v>0</v>
      </c>
      <c r="AL443" s="40">
        <f t="shared" si="333"/>
        <v>0</v>
      </c>
      <c r="AN443" s="40">
        <v>21</v>
      </c>
      <c r="AO443" s="40">
        <f>I443*0</f>
        <v>0</v>
      </c>
      <c r="AP443" s="40">
        <f>I443*(1-0)</f>
        <v>0</v>
      </c>
      <c r="AQ443" s="17" t="s">
        <v>668</v>
      </c>
      <c r="AV443" s="40">
        <f t="shared" si="334"/>
        <v>0</v>
      </c>
      <c r="AW443" s="40">
        <f t="shared" si="335"/>
        <v>0</v>
      </c>
      <c r="AX443" s="40">
        <f t="shared" si="336"/>
        <v>0</v>
      </c>
      <c r="AY443" s="17" t="s">
        <v>1173</v>
      </c>
      <c r="AZ443" s="17" t="s">
        <v>965</v>
      </c>
      <c r="BA443" s="11" t="s">
        <v>140</v>
      </c>
      <c r="BC443" s="40">
        <f t="shared" si="337"/>
        <v>0</v>
      </c>
      <c r="BD443" s="40">
        <f t="shared" si="338"/>
        <v>0</v>
      </c>
      <c r="BE443" s="40">
        <v>0</v>
      </c>
      <c r="BF443" s="40">
        <f>443</f>
        <v>443</v>
      </c>
      <c r="BH443" s="40">
        <f t="shared" si="339"/>
        <v>0</v>
      </c>
      <c r="BI443" s="40">
        <f t="shared" si="340"/>
        <v>0</v>
      </c>
      <c r="BJ443" s="40">
        <f t="shared" si="341"/>
        <v>0</v>
      </c>
      <c r="BK443" s="40"/>
      <c r="BL443" s="40"/>
    </row>
    <row r="444" spans="1:13" ht="15" customHeight="1">
      <c r="A444" s="24" t="s">
        <v>878</v>
      </c>
      <c r="B444" s="66" t="s">
        <v>878</v>
      </c>
      <c r="C444" s="92" t="s">
        <v>1441</v>
      </c>
      <c r="D444" s="92"/>
      <c r="E444" s="92"/>
      <c r="F444" s="92"/>
      <c r="G444" s="3" t="s">
        <v>1172</v>
      </c>
      <c r="H444" s="3" t="s">
        <v>1172</v>
      </c>
      <c r="I444" s="3" t="s">
        <v>1172</v>
      </c>
      <c r="J444" s="63">
        <f>J445+J447+J449+J452+J455+J458+J460+J462+J468</f>
        <v>0</v>
      </c>
      <c r="K444" s="63">
        <f>K445+K447+K449+K452+K455+K458+K460+K462+K468</f>
        <v>0</v>
      </c>
      <c r="L444" s="63">
        <f>L445+L447+L449+L452+L455+L458+L460+L462+L468</f>
        <v>0</v>
      </c>
      <c r="M444" s="4" t="s">
        <v>878</v>
      </c>
    </row>
    <row r="445" spans="1:47" ht="15" customHeight="1">
      <c r="A445" s="24" t="s">
        <v>878</v>
      </c>
      <c r="B445" s="66" t="s">
        <v>938</v>
      </c>
      <c r="C445" s="92" t="s">
        <v>314</v>
      </c>
      <c r="D445" s="92"/>
      <c r="E445" s="92"/>
      <c r="F445" s="92"/>
      <c r="G445" s="3" t="s">
        <v>1172</v>
      </c>
      <c r="H445" s="3" t="s">
        <v>1172</v>
      </c>
      <c r="I445" s="3" t="s">
        <v>1172</v>
      </c>
      <c r="J445" s="63">
        <f>SUM(J446:J446)</f>
        <v>0</v>
      </c>
      <c r="K445" s="63">
        <f>SUM(K446:K446)</f>
        <v>0</v>
      </c>
      <c r="L445" s="63">
        <f>SUM(L446:L446)</f>
        <v>0</v>
      </c>
      <c r="M445" s="4" t="s">
        <v>878</v>
      </c>
      <c r="AI445" s="11" t="s">
        <v>349</v>
      </c>
      <c r="AS445" s="63">
        <f>SUM(AJ446:AJ446)</f>
        <v>0</v>
      </c>
      <c r="AT445" s="63">
        <f>SUM(AK446:AK446)</f>
        <v>0</v>
      </c>
      <c r="AU445" s="63">
        <f>SUM(AL446:AL446)</f>
        <v>0</v>
      </c>
    </row>
    <row r="446" spans="1:64" ht="15" customHeight="1">
      <c r="A446" s="19" t="s">
        <v>1410</v>
      </c>
      <c r="B446" s="59" t="s">
        <v>511</v>
      </c>
      <c r="C446" s="76" t="s">
        <v>1239</v>
      </c>
      <c r="D446" s="76"/>
      <c r="E446" s="76"/>
      <c r="F446" s="76"/>
      <c r="G446" s="59" t="s">
        <v>1220</v>
      </c>
      <c r="H446" s="40">
        <v>15</v>
      </c>
      <c r="I446" s="40">
        <v>0</v>
      </c>
      <c r="J446" s="40">
        <f>H446*AO446</f>
        <v>0</v>
      </c>
      <c r="K446" s="40">
        <f>H446*AP446</f>
        <v>0</v>
      </c>
      <c r="L446" s="40">
        <f>H446*I446</f>
        <v>0</v>
      </c>
      <c r="M446" s="69" t="s">
        <v>868</v>
      </c>
      <c r="Z446" s="40">
        <f>IF(AQ446="5",BJ446,0)</f>
        <v>0</v>
      </c>
      <c r="AB446" s="40">
        <f>IF(AQ446="1",BH446,0)</f>
        <v>0</v>
      </c>
      <c r="AC446" s="40">
        <f>IF(AQ446="1",BI446,0)</f>
        <v>0</v>
      </c>
      <c r="AD446" s="40">
        <f>IF(AQ446="7",BH446,0)</f>
        <v>0</v>
      </c>
      <c r="AE446" s="40">
        <f>IF(AQ446="7",BI446,0)</f>
        <v>0</v>
      </c>
      <c r="AF446" s="40">
        <f>IF(AQ446="2",BH446,0)</f>
        <v>0</v>
      </c>
      <c r="AG446" s="40">
        <f>IF(AQ446="2",BI446,0)</f>
        <v>0</v>
      </c>
      <c r="AH446" s="40">
        <f>IF(AQ446="0",BJ446,0)</f>
        <v>0</v>
      </c>
      <c r="AI446" s="11" t="s">
        <v>349</v>
      </c>
      <c r="AJ446" s="40">
        <f>IF(AN446=0,L446,0)</f>
        <v>0</v>
      </c>
      <c r="AK446" s="40">
        <f>IF(AN446=15,L446,0)</f>
        <v>0</v>
      </c>
      <c r="AL446" s="40">
        <f>IF(AN446=21,L446,0)</f>
        <v>0</v>
      </c>
      <c r="AN446" s="40">
        <v>21</v>
      </c>
      <c r="AO446" s="40">
        <f>I446*0</f>
        <v>0</v>
      </c>
      <c r="AP446" s="40">
        <f>I446*(1-0)</f>
        <v>0</v>
      </c>
      <c r="AQ446" s="17" t="s">
        <v>1260</v>
      </c>
      <c r="AV446" s="40">
        <f>AW446+AX446</f>
        <v>0</v>
      </c>
      <c r="AW446" s="40">
        <f>H446*AO446</f>
        <v>0</v>
      </c>
      <c r="AX446" s="40">
        <f>H446*AP446</f>
        <v>0</v>
      </c>
      <c r="AY446" s="17" t="s">
        <v>630</v>
      </c>
      <c r="AZ446" s="17" t="s">
        <v>232</v>
      </c>
      <c r="BA446" s="11" t="s">
        <v>319</v>
      </c>
      <c r="BC446" s="40">
        <f>AW446+AX446</f>
        <v>0</v>
      </c>
      <c r="BD446" s="40">
        <f>I446/(100-BE446)*100</f>
        <v>0</v>
      </c>
      <c r="BE446" s="40">
        <v>0</v>
      </c>
      <c r="BF446" s="40">
        <f>446</f>
        <v>446</v>
      </c>
      <c r="BH446" s="40">
        <f>H446*AO446</f>
        <v>0</v>
      </c>
      <c r="BI446" s="40">
        <f>H446*AP446</f>
        <v>0</v>
      </c>
      <c r="BJ446" s="40">
        <f>H446*I446</f>
        <v>0</v>
      </c>
      <c r="BK446" s="40"/>
      <c r="BL446" s="40">
        <v>12</v>
      </c>
    </row>
    <row r="447" spans="1:47" ht="15" customHeight="1">
      <c r="A447" s="24" t="s">
        <v>878</v>
      </c>
      <c r="B447" s="66" t="s">
        <v>368</v>
      </c>
      <c r="C447" s="92" t="s">
        <v>13</v>
      </c>
      <c r="D447" s="92"/>
      <c r="E447" s="92"/>
      <c r="F447" s="92"/>
      <c r="G447" s="3" t="s">
        <v>1172</v>
      </c>
      <c r="H447" s="3" t="s">
        <v>1172</v>
      </c>
      <c r="I447" s="3" t="s">
        <v>1172</v>
      </c>
      <c r="J447" s="63">
        <f>SUM(J448:J448)</f>
        <v>0</v>
      </c>
      <c r="K447" s="63">
        <f>SUM(K448:K448)</f>
        <v>0</v>
      </c>
      <c r="L447" s="63">
        <f>SUM(L448:L448)</f>
        <v>0</v>
      </c>
      <c r="M447" s="4" t="s">
        <v>878</v>
      </c>
      <c r="AI447" s="11" t="s">
        <v>349</v>
      </c>
      <c r="AS447" s="63">
        <f>SUM(AJ448:AJ448)</f>
        <v>0</v>
      </c>
      <c r="AT447" s="63">
        <f>SUM(AK448:AK448)</f>
        <v>0</v>
      </c>
      <c r="AU447" s="63">
        <f>SUM(AL448:AL448)</f>
        <v>0</v>
      </c>
    </row>
    <row r="448" spans="1:64" ht="15" customHeight="1">
      <c r="A448" s="19" t="s">
        <v>73</v>
      </c>
      <c r="B448" s="59" t="s">
        <v>1126</v>
      </c>
      <c r="C448" s="76" t="s">
        <v>180</v>
      </c>
      <c r="D448" s="76"/>
      <c r="E448" s="76"/>
      <c r="F448" s="76"/>
      <c r="G448" s="59" t="s">
        <v>1220</v>
      </c>
      <c r="H448" s="40">
        <v>366.525</v>
      </c>
      <c r="I448" s="40">
        <v>0</v>
      </c>
      <c r="J448" s="40">
        <f>H448*AO448</f>
        <v>0</v>
      </c>
      <c r="K448" s="40">
        <f>H448*AP448</f>
        <v>0</v>
      </c>
      <c r="L448" s="40">
        <f>H448*I448</f>
        <v>0</v>
      </c>
      <c r="M448" s="69" t="s">
        <v>868</v>
      </c>
      <c r="Z448" s="40">
        <f>IF(AQ448="5",BJ448,0)</f>
        <v>0</v>
      </c>
      <c r="AB448" s="40">
        <f>IF(AQ448="1",BH448,0)</f>
        <v>0</v>
      </c>
      <c r="AC448" s="40">
        <f>IF(AQ448="1",BI448,0)</f>
        <v>0</v>
      </c>
      <c r="AD448" s="40">
        <f>IF(AQ448="7",BH448,0)</f>
        <v>0</v>
      </c>
      <c r="AE448" s="40">
        <f>IF(AQ448="7",BI448,0)</f>
        <v>0</v>
      </c>
      <c r="AF448" s="40">
        <f>IF(AQ448="2",BH448,0)</f>
        <v>0</v>
      </c>
      <c r="AG448" s="40">
        <f>IF(AQ448="2",BI448,0)</f>
        <v>0</v>
      </c>
      <c r="AH448" s="40">
        <f>IF(AQ448="0",BJ448,0)</f>
        <v>0</v>
      </c>
      <c r="AI448" s="11" t="s">
        <v>349</v>
      </c>
      <c r="AJ448" s="40">
        <f>IF(AN448=0,L448,0)</f>
        <v>0</v>
      </c>
      <c r="AK448" s="40">
        <f>IF(AN448=15,L448,0)</f>
        <v>0</v>
      </c>
      <c r="AL448" s="40">
        <f>IF(AN448=21,L448,0)</f>
        <v>0</v>
      </c>
      <c r="AN448" s="40">
        <v>21</v>
      </c>
      <c r="AO448" s="40">
        <f>I448*0</f>
        <v>0</v>
      </c>
      <c r="AP448" s="40">
        <f>I448*(1-0)</f>
        <v>0</v>
      </c>
      <c r="AQ448" s="17" t="s">
        <v>1260</v>
      </c>
      <c r="AV448" s="40">
        <f>AW448+AX448</f>
        <v>0</v>
      </c>
      <c r="AW448" s="40">
        <f>H448*AO448</f>
        <v>0</v>
      </c>
      <c r="AX448" s="40">
        <f>H448*AP448</f>
        <v>0</v>
      </c>
      <c r="AY448" s="17" t="s">
        <v>1141</v>
      </c>
      <c r="AZ448" s="17" t="s">
        <v>232</v>
      </c>
      <c r="BA448" s="11" t="s">
        <v>319</v>
      </c>
      <c r="BC448" s="40">
        <f>AW448+AX448</f>
        <v>0</v>
      </c>
      <c r="BD448" s="40">
        <f>I448/(100-BE448)*100</f>
        <v>0</v>
      </c>
      <c r="BE448" s="40">
        <v>0</v>
      </c>
      <c r="BF448" s="40">
        <f>448</f>
        <v>448</v>
      </c>
      <c r="BH448" s="40">
        <f>H448*AO448</f>
        <v>0</v>
      </c>
      <c r="BI448" s="40">
        <f>H448*AP448</f>
        <v>0</v>
      </c>
      <c r="BJ448" s="40">
        <f>H448*I448</f>
        <v>0</v>
      </c>
      <c r="BK448" s="40"/>
      <c r="BL448" s="40">
        <v>13</v>
      </c>
    </row>
    <row r="449" spans="1:47" ht="15" customHeight="1">
      <c r="A449" s="24" t="s">
        <v>878</v>
      </c>
      <c r="B449" s="66" t="s">
        <v>123</v>
      </c>
      <c r="C449" s="92" t="s">
        <v>1052</v>
      </c>
      <c r="D449" s="92"/>
      <c r="E449" s="92"/>
      <c r="F449" s="92"/>
      <c r="G449" s="3" t="s">
        <v>1172</v>
      </c>
      <c r="H449" s="3" t="s">
        <v>1172</v>
      </c>
      <c r="I449" s="3" t="s">
        <v>1172</v>
      </c>
      <c r="J449" s="63">
        <f>SUM(J450:J451)</f>
        <v>0</v>
      </c>
      <c r="K449" s="63">
        <f>SUM(K450:K451)</f>
        <v>0</v>
      </c>
      <c r="L449" s="63">
        <f>SUM(L450:L451)</f>
        <v>0</v>
      </c>
      <c r="M449" s="4" t="s">
        <v>878</v>
      </c>
      <c r="AI449" s="11" t="s">
        <v>349</v>
      </c>
      <c r="AS449" s="63">
        <f>SUM(AJ450:AJ451)</f>
        <v>0</v>
      </c>
      <c r="AT449" s="63">
        <f>SUM(AK450:AK451)</f>
        <v>0</v>
      </c>
      <c r="AU449" s="63">
        <f>SUM(AL450:AL451)</f>
        <v>0</v>
      </c>
    </row>
    <row r="450" spans="1:64" ht="15" customHeight="1">
      <c r="A450" s="19" t="s">
        <v>1245</v>
      </c>
      <c r="B450" s="59" t="s">
        <v>20</v>
      </c>
      <c r="C450" s="76" t="s">
        <v>1058</v>
      </c>
      <c r="D450" s="76"/>
      <c r="E450" s="76"/>
      <c r="F450" s="76"/>
      <c r="G450" s="59" t="s">
        <v>1220</v>
      </c>
      <c r="H450" s="40">
        <v>109.957</v>
      </c>
      <c r="I450" s="40">
        <v>0</v>
      </c>
      <c r="J450" s="40">
        <f>H450*AO450</f>
        <v>0</v>
      </c>
      <c r="K450" s="40">
        <f>H450*AP450</f>
        <v>0</v>
      </c>
      <c r="L450" s="40">
        <f>H450*I450</f>
        <v>0</v>
      </c>
      <c r="M450" s="69" t="s">
        <v>868</v>
      </c>
      <c r="Z450" s="40">
        <f>IF(AQ450="5",BJ450,0)</f>
        <v>0</v>
      </c>
      <c r="AB450" s="40">
        <f>IF(AQ450="1",BH450,0)</f>
        <v>0</v>
      </c>
      <c r="AC450" s="40">
        <f>IF(AQ450="1",BI450,0)</f>
        <v>0</v>
      </c>
      <c r="AD450" s="40">
        <f>IF(AQ450="7",BH450,0)</f>
        <v>0</v>
      </c>
      <c r="AE450" s="40">
        <f>IF(AQ450="7",BI450,0)</f>
        <v>0</v>
      </c>
      <c r="AF450" s="40">
        <f>IF(AQ450="2",BH450,0)</f>
        <v>0</v>
      </c>
      <c r="AG450" s="40">
        <f>IF(AQ450="2",BI450,0)</f>
        <v>0</v>
      </c>
      <c r="AH450" s="40">
        <f>IF(AQ450="0",BJ450,0)</f>
        <v>0</v>
      </c>
      <c r="AI450" s="11" t="s">
        <v>349</v>
      </c>
      <c r="AJ450" s="40">
        <f>IF(AN450=0,L450,0)</f>
        <v>0</v>
      </c>
      <c r="AK450" s="40">
        <f>IF(AN450=15,L450,0)</f>
        <v>0</v>
      </c>
      <c r="AL450" s="40">
        <f>IF(AN450=21,L450,0)</f>
        <v>0</v>
      </c>
      <c r="AN450" s="40">
        <v>21</v>
      </c>
      <c r="AO450" s="40">
        <f>I450*0</f>
        <v>0</v>
      </c>
      <c r="AP450" s="40">
        <f>I450*(1-0)</f>
        <v>0</v>
      </c>
      <c r="AQ450" s="17" t="s">
        <v>1260</v>
      </c>
      <c r="AV450" s="40">
        <f>AW450+AX450</f>
        <v>0</v>
      </c>
      <c r="AW450" s="40">
        <f>H450*AO450</f>
        <v>0</v>
      </c>
      <c r="AX450" s="40">
        <f>H450*AP450</f>
        <v>0</v>
      </c>
      <c r="AY450" s="17" t="s">
        <v>1175</v>
      </c>
      <c r="AZ450" s="17" t="s">
        <v>232</v>
      </c>
      <c r="BA450" s="11" t="s">
        <v>319</v>
      </c>
      <c r="BC450" s="40">
        <f>AW450+AX450</f>
        <v>0</v>
      </c>
      <c r="BD450" s="40">
        <f>I450/(100-BE450)*100</f>
        <v>0</v>
      </c>
      <c r="BE450" s="40">
        <v>0</v>
      </c>
      <c r="BF450" s="40">
        <f>450</f>
        <v>450</v>
      </c>
      <c r="BH450" s="40">
        <f>H450*AO450</f>
        <v>0</v>
      </c>
      <c r="BI450" s="40">
        <f>H450*AP450</f>
        <v>0</v>
      </c>
      <c r="BJ450" s="40">
        <f>H450*I450</f>
        <v>0</v>
      </c>
      <c r="BK450" s="40"/>
      <c r="BL450" s="40">
        <v>16</v>
      </c>
    </row>
    <row r="451" spans="1:64" ht="15" customHeight="1">
      <c r="A451" s="19" t="s">
        <v>87</v>
      </c>
      <c r="B451" s="59" t="s">
        <v>572</v>
      </c>
      <c r="C451" s="76" t="s">
        <v>677</v>
      </c>
      <c r="D451" s="76"/>
      <c r="E451" s="76"/>
      <c r="F451" s="76"/>
      <c r="G451" s="59" t="s">
        <v>1220</v>
      </c>
      <c r="H451" s="40">
        <v>1100</v>
      </c>
      <c r="I451" s="40">
        <v>0</v>
      </c>
      <c r="J451" s="40">
        <f>H451*AO451</f>
        <v>0</v>
      </c>
      <c r="K451" s="40">
        <f>H451*AP451</f>
        <v>0</v>
      </c>
      <c r="L451" s="40">
        <f>H451*I451</f>
        <v>0</v>
      </c>
      <c r="M451" s="69" t="s">
        <v>868</v>
      </c>
      <c r="Z451" s="40">
        <f>IF(AQ451="5",BJ451,0)</f>
        <v>0</v>
      </c>
      <c r="AB451" s="40">
        <f>IF(AQ451="1",BH451,0)</f>
        <v>0</v>
      </c>
      <c r="AC451" s="40">
        <f>IF(AQ451="1",BI451,0)</f>
        <v>0</v>
      </c>
      <c r="AD451" s="40">
        <f>IF(AQ451="7",BH451,0)</f>
        <v>0</v>
      </c>
      <c r="AE451" s="40">
        <f>IF(AQ451="7",BI451,0)</f>
        <v>0</v>
      </c>
      <c r="AF451" s="40">
        <f>IF(AQ451="2",BH451,0)</f>
        <v>0</v>
      </c>
      <c r="AG451" s="40">
        <f>IF(AQ451="2",BI451,0)</f>
        <v>0</v>
      </c>
      <c r="AH451" s="40">
        <f>IF(AQ451="0",BJ451,0)</f>
        <v>0</v>
      </c>
      <c r="AI451" s="11" t="s">
        <v>349</v>
      </c>
      <c r="AJ451" s="40">
        <f>IF(AN451=0,L451,0)</f>
        <v>0</v>
      </c>
      <c r="AK451" s="40">
        <f>IF(AN451=15,L451,0)</f>
        <v>0</v>
      </c>
      <c r="AL451" s="40">
        <f>IF(AN451=21,L451,0)</f>
        <v>0</v>
      </c>
      <c r="AN451" s="40">
        <v>21</v>
      </c>
      <c r="AO451" s="40">
        <f>I451*0</f>
        <v>0</v>
      </c>
      <c r="AP451" s="40">
        <f>I451*(1-0)</f>
        <v>0</v>
      </c>
      <c r="AQ451" s="17" t="s">
        <v>1260</v>
      </c>
      <c r="AV451" s="40">
        <f>AW451+AX451</f>
        <v>0</v>
      </c>
      <c r="AW451" s="40">
        <f>H451*AO451</f>
        <v>0</v>
      </c>
      <c r="AX451" s="40">
        <f>H451*AP451</f>
        <v>0</v>
      </c>
      <c r="AY451" s="17" t="s">
        <v>1175</v>
      </c>
      <c r="AZ451" s="17" t="s">
        <v>232</v>
      </c>
      <c r="BA451" s="11" t="s">
        <v>319</v>
      </c>
      <c r="BC451" s="40">
        <f>AW451+AX451</f>
        <v>0</v>
      </c>
      <c r="BD451" s="40">
        <f>I451/(100-BE451)*100</f>
        <v>0</v>
      </c>
      <c r="BE451" s="40">
        <v>0</v>
      </c>
      <c r="BF451" s="40">
        <f>451</f>
        <v>451</v>
      </c>
      <c r="BH451" s="40">
        <f>H451*AO451</f>
        <v>0</v>
      </c>
      <c r="BI451" s="40">
        <f>H451*AP451</f>
        <v>0</v>
      </c>
      <c r="BJ451" s="40">
        <f>H451*I451</f>
        <v>0</v>
      </c>
      <c r="BK451" s="40"/>
      <c r="BL451" s="40">
        <v>16</v>
      </c>
    </row>
    <row r="452" spans="1:47" ht="15" customHeight="1">
      <c r="A452" s="24" t="s">
        <v>878</v>
      </c>
      <c r="B452" s="66" t="s">
        <v>885</v>
      </c>
      <c r="C452" s="92" t="s">
        <v>179</v>
      </c>
      <c r="D452" s="92"/>
      <c r="E452" s="92"/>
      <c r="F452" s="92"/>
      <c r="G452" s="3" t="s">
        <v>1172</v>
      </c>
      <c r="H452" s="3" t="s">
        <v>1172</v>
      </c>
      <c r="I452" s="3" t="s">
        <v>1172</v>
      </c>
      <c r="J452" s="63">
        <f>SUM(J453:J454)</f>
        <v>0</v>
      </c>
      <c r="K452" s="63">
        <f>SUM(K453:K454)</f>
        <v>0</v>
      </c>
      <c r="L452" s="63">
        <f>SUM(L453:L454)</f>
        <v>0</v>
      </c>
      <c r="M452" s="4" t="s">
        <v>878</v>
      </c>
      <c r="AI452" s="11" t="s">
        <v>349</v>
      </c>
      <c r="AS452" s="63">
        <f>SUM(AJ453:AJ454)</f>
        <v>0</v>
      </c>
      <c r="AT452" s="63">
        <f>SUM(AK453:AK454)</f>
        <v>0</v>
      </c>
      <c r="AU452" s="63">
        <f>SUM(AL453:AL454)</f>
        <v>0</v>
      </c>
    </row>
    <row r="453" spans="1:64" ht="15" customHeight="1">
      <c r="A453" s="19" t="s">
        <v>1395</v>
      </c>
      <c r="B453" s="59" t="s">
        <v>1104</v>
      </c>
      <c r="C453" s="76" t="s">
        <v>43</v>
      </c>
      <c r="D453" s="76"/>
      <c r="E453" s="76"/>
      <c r="F453" s="76"/>
      <c r="G453" s="59" t="s">
        <v>1220</v>
      </c>
      <c r="H453" s="40">
        <v>85.5225</v>
      </c>
      <c r="I453" s="40">
        <v>0</v>
      </c>
      <c r="J453" s="40">
        <f>H453*AO453</f>
        <v>0</v>
      </c>
      <c r="K453" s="40">
        <f>H453*AP453</f>
        <v>0</v>
      </c>
      <c r="L453" s="40">
        <f>H453*I453</f>
        <v>0</v>
      </c>
      <c r="M453" s="69" t="s">
        <v>868</v>
      </c>
      <c r="Z453" s="40">
        <f>IF(AQ453="5",BJ453,0)</f>
        <v>0</v>
      </c>
      <c r="AB453" s="40">
        <f>IF(AQ453="1",BH453,0)</f>
        <v>0</v>
      </c>
      <c r="AC453" s="40">
        <f>IF(AQ453="1",BI453,0)</f>
        <v>0</v>
      </c>
      <c r="AD453" s="40">
        <f>IF(AQ453="7",BH453,0)</f>
        <v>0</v>
      </c>
      <c r="AE453" s="40">
        <f>IF(AQ453="7",BI453,0)</f>
        <v>0</v>
      </c>
      <c r="AF453" s="40">
        <f>IF(AQ453="2",BH453,0)</f>
        <v>0</v>
      </c>
      <c r="AG453" s="40">
        <f>IF(AQ453="2",BI453,0)</f>
        <v>0</v>
      </c>
      <c r="AH453" s="40">
        <f>IF(AQ453="0",BJ453,0)</f>
        <v>0</v>
      </c>
      <c r="AI453" s="11" t="s">
        <v>349</v>
      </c>
      <c r="AJ453" s="40">
        <f>IF(AN453=0,L453,0)</f>
        <v>0</v>
      </c>
      <c r="AK453" s="40">
        <f>IF(AN453=15,L453,0)</f>
        <v>0</v>
      </c>
      <c r="AL453" s="40">
        <f>IF(AN453=21,L453,0)</f>
        <v>0</v>
      </c>
      <c r="AN453" s="40">
        <v>21</v>
      </c>
      <c r="AO453" s="40">
        <f>I453*0.50338066410648</f>
        <v>0</v>
      </c>
      <c r="AP453" s="40">
        <f>I453*(1-0.50338066410648)</f>
        <v>0</v>
      </c>
      <c r="AQ453" s="17" t="s">
        <v>1260</v>
      </c>
      <c r="AV453" s="40">
        <f>AW453+AX453</f>
        <v>0</v>
      </c>
      <c r="AW453" s="40">
        <f>H453*AO453</f>
        <v>0</v>
      </c>
      <c r="AX453" s="40">
        <f>H453*AP453</f>
        <v>0</v>
      </c>
      <c r="AY453" s="17" t="s">
        <v>251</v>
      </c>
      <c r="AZ453" s="17" t="s">
        <v>232</v>
      </c>
      <c r="BA453" s="11" t="s">
        <v>319</v>
      </c>
      <c r="BC453" s="40">
        <f>AW453+AX453</f>
        <v>0</v>
      </c>
      <c r="BD453" s="40">
        <f>I453/(100-BE453)*100</f>
        <v>0</v>
      </c>
      <c r="BE453" s="40">
        <v>0</v>
      </c>
      <c r="BF453" s="40">
        <f>453</f>
        <v>453</v>
      </c>
      <c r="BH453" s="40">
        <f>H453*AO453</f>
        <v>0</v>
      </c>
      <c r="BI453" s="40">
        <f>H453*AP453</f>
        <v>0</v>
      </c>
      <c r="BJ453" s="40">
        <f>H453*I453</f>
        <v>0</v>
      </c>
      <c r="BK453" s="40"/>
      <c r="BL453" s="40">
        <v>17</v>
      </c>
    </row>
    <row r="454" spans="1:64" ht="15" customHeight="1">
      <c r="A454" s="19" t="s">
        <v>1036</v>
      </c>
      <c r="B454" s="59" t="s">
        <v>931</v>
      </c>
      <c r="C454" s="76" t="s">
        <v>652</v>
      </c>
      <c r="D454" s="76"/>
      <c r="E454" s="76"/>
      <c r="F454" s="76"/>
      <c r="G454" s="59" t="s">
        <v>1220</v>
      </c>
      <c r="H454" s="40">
        <v>256.5675</v>
      </c>
      <c r="I454" s="40">
        <v>0</v>
      </c>
      <c r="J454" s="40">
        <f>H454*AO454</f>
        <v>0</v>
      </c>
      <c r="K454" s="40">
        <f>H454*AP454</f>
        <v>0</v>
      </c>
      <c r="L454" s="40">
        <f>H454*I454</f>
        <v>0</v>
      </c>
      <c r="M454" s="69" t="s">
        <v>868</v>
      </c>
      <c r="Z454" s="40">
        <f>IF(AQ454="5",BJ454,0)</f>
        <v>0</v>
      </c>
      <c r="AB454" s="40">
        <f>IF(AQ454="1",BH454,0)</f>
        <v>0</v>
      </c>
      <c r="AC454" s="40">
        <f>IF(AQ454="1",BI454,0)</f>
        <v>0</v>
      </c>
      <c r="AD454" s="40">
        <f>IF(AQ454="7",BH454,0)</f>
        <v>0</v>
      </c>
      <c r="AE454" s="40">
        <f>IF(AQ454="7",BI454,0)</f>
        <v>0</v>
      </c>
      <c r="AF454" s="40">
        <f>IF(AQ454="2",BH454,0)</f>
        <v>0</v>
      </c>
      <c r="AG454" s="40">
        <f>IF(AQ454="2",BI454,0)</f>
        <v>0</v>
      </c>
      <c r="AH454" s="40">
        <f>IF(AQ454="0",BJ454,0)</f>
        <v>0</v>
      </c>
      <c r="AI454" s="11" t="s">
        <v>349</v>
      </c>
      <c r="AJ454" s="40">
        <f>IF(AN454=0,L454,0)</f>
        <v>0</v>
      </c>
      <c r="AK454" s="40">
        <f>IF(AN454=15,L454,0)</f>
        <v>0</v>
      </c>
      <c r="AL454" s="40">
        <f>IF(AN454=21,L454,0)</f>
        <v>0</v>
      </c>
      <c r="AN454" s="40">
        <v>21</v>
      </c>
      <c r="AO454" s="40">
        <f>I454*0</f>
        <v>0</v>
      </c>
      <c r="AP454" s="40">
        <f>I454*(1-0)</f>
        <v>0</v>
      </c>
      <c r="AQ454" s="17" t="s">
        <v>1260</v>
      </c>
      <c r="AV454" s="40">
        <f>AW454+AX454</f>
        <v>0</v>
      </c>
      <c r="AW454" s="40">
        <f>H454*AO454</f>
        <v>0</v>
      </c>
      <c r="AX454" s="40">
        <f>H454*AP454</f>
        <v>0</v>
      </c>
      <c r="AY454" s="17" t="s">
        <v>251</v>
      </c>
      <c r="AZ454" s="17" t="s">
        <v>232</v>
      </c>
      <c r="BA454" s="11" t="s">
        <v>319</v>
      </c>
      <c r="BC454" s="40">
        <f>AW454+AX454</f>
        <v>0</v>
      </c>
      <c r="BD454" s="40">
        <f>I454/(100-BE454)*100</f>
        <v>0</v>
      </c>
      <c r="BE454" s="40">
        <v>0</v>
      </c>
      <c r="BF454" s="40">
        <f>454</f>
        <v>454</v>
      </c>
      <c r="BH454" s="40">
        <f>H454*AO454</f>
        <v>0</v>
      </c>
      <c r="BI454" s="40">
        <f>H454*AP454</f>
        <v>0</v>
      </c>
      <c r="BJ454" s="40">
        <f>H454*I454</f>
        <v>0</v>
      </c>
      <c r="BK454" s="40"/>
      <c r="BL454" s="40">
        <v>17</v>
      </c>
    </row>
    <row r="455" spans="1:47" ht="15" customHeight="1">
      <c r="A455" s="24" t="s">
        <v>878</v>
      </c>
      <c r="B455" s="66" t="s">
        <v>1015</v>
      </c>
      <c r="C455" s="92" t="s">
        <v>1278</v>
      </c>
      <c r="D455" s="92"/>
      <c r="E455" s="92"/>
      <c r="F455" s="92"/>
      <c r="G455" s="3" t="s">
        <v>1172</v>
      </c>
      <c r="H455" s="3" t="s">
        <v>1172</v>
      </c>
      <c r="I455" s="3" t="s">
        <v>1172</v>
      </c>
      <c r="J455" s="63">
        <f>SUM(J456:J457)</f>
        <v>0</v>
      </c>
      <c r="K455" s="63">
        <f>SUM(K456:K457)</f>
        <v>0</v>
      </c>
      <c r="L455" s="63">
        <f>SUM(L456:L457)</f>
        <v>0</v>
      </c>
      <c r="M455" s="4" t="s">
        <v>878</v>
      </c>
      <c r="AI455" s="11" t="s">
        <v>349</v>
      </c>
      <c r="AS455" s="63">
        <f>SUM(AJ456:AJ457)</f>
        <v>0</v>
      </c>
      <c r="AT455" s="63">
        <f>SUM(AK456:AK457)</f>
        <v>0</v>
      </c>
      <c r="AU455" s="63">
        <f>SUM(AL456:AL457)</f>
        <v>0</v>
      </c>
    </row>
    <row r="456" spans="1:64" ht="15" customHeight="1">
      <c r="A456" s="19" t="s">
        <v>1418</v>
      </c>
      <c r="B456" s="59" t="s">
        <v>665</v>
      </c>
      <c r="C456" s="76" t="s">
        <v>1012</v>
      </c>
      <c r="D456" s="76"/>
      <c r="E456" s="76"/>
      <c r="F456" s="76"/>
      <c r="G456" s="59" t="s">
        <v>1243</v>
      </c>
      <c r="H456" s="40">
        <v>75</v>
      </c>
      <c r="I456" s="40">
        <v>0</v>
      </c>
      <c r="J456" s="40">
        <f>H456*AO456</f>
        <v>0</v>
      </c>
      <c r="K456" s="40">
        <f>H456*AP456</f>
        <v>0</v>
      </c>
      <c r="L456" s="40">
        <f>H456*I456</f>
        <v>0</v>
      </c>
      <c r="M456" s="69" t="s">
        <v>868</v>
      </c>
      <c r="Z456" s="40">
        <f>IF(AQ456="5",BJ456,0)</f>
        <v>0</v>
      </c>
      <c r="AB456" s="40">
        <f>IF(AQ456="1",BH456,0)</f>
        <v>0</v>
      </c>
      <c r="AC456" s="40">
        <f>IF(AQ456="1",BI456,0)</f>
        <v>0</v>
      </c>
      <c r="AD456" s="40">
        <f>IF(AQ456="7",BH456,0)</f>
        <v>0</v>
      </c>
      <c r="AE456" s="40">
        <f>IF(AQ456="7",BI456,0)</f>
        <v>0</v>
      </c>
      <c r="AF456" s="40">
        <f>IF(AQ456="2",BH456,0)</f>
        <v>0</v>
      </c>
      <c r="AG456" s="40">
        <f>IF(AQ456="2",BI456,0)</f>
        <v>0</v>
      </c>
      <c r="AH456" s="40">
        <f>IF(AQ456="0",BJ456,0)</f>
        <v>0</v>
      </c>
      <c r="AI456" s="11" t="s">
        <v>349</v>
      </c>
      <c r="AJ456" s="40">
        <f>IF(AN456=0,L456,0)</f>
        <v>0</v>
      </c>
      <c r="AK456" s="40">
        <f>IF(AN456=15,L456,0)</f>
        <v>0</v>
      </c>
      <c r="AL456" s="40">
        <f>IF(AN456=21,L456,0)</f>
        <v>0</v>
      </c>
      <c r="AN456" s="40">
        <v>21</v>
      </c>
      <c r="AO456" s="40">
        <f>I456*0.0401051939513478</f>
        <v>0</v>
      </c>
      <c r="AP456" s="40">
        <f>I456*(1-0.0401051939513478)</f>
        <v>0</v>
      </c>
      <c r="AQ456" s="17" t="s">
        <v>1260</v>
      </c>
      <c r="AV456" s="40">
        <f>AW456+AX456</f>
        <v>0</v>
      </c>
      <c r="AW456" s="40">
        <f>H456*AO456</f>
        <v>0</v>
      </c>
      <c r="AX456" s="40">
        <f>H456*AP456</f>
        <v>0</v>
      </c>
      <c r="AY456" s="17" t="s">
        <v>614</v>
      </c>
      <c r="AZ456" s="17" t="s">
        <v>232</v>
      </c>
      <c r="BA456" s="11" t="s">
        <v>319</v>
      </c>
      <c r="BC456" s="40">
        <f>AW456+AX456</f>
        <v>0</v>
      </c>
      <c r="BD456" s="40">
        <f>I456/(100-BE456)*100</f>
        <v>0</v>
      </c>
      <c r="BE456" s="40">
        <v>0</v>
      </c>
      <c r="BF456" s="40">
        <f>456</f>
        <v>456</v>
      </c>
      <c r="BH456" s="40">
        <f>H456*AO456</f>
        <v>0</v>
      </c>
      <c r="BI456" s="40">
        <f>H456*AP456</f>
        <v>0</v>
      </c>
      <c r="BJ456" s="40">
        <f>H456*I456</f>
        <v>0</v>
      </c>
      <c r="BK456" s="40"/>
      <c r="BL456" s="40">
        <v>18</v>
      </c>
    </row>
    <row r="457" spans="1:64" ht="15" customHeight="1">
      <c r="A457" s="19" t="s">
        <v>472</v>
      </c>
      <c r="B457" s="59" t="s">
        <v>1286</v>
      </c>
      <c r="C457" s="76" t="s">
        <v>1356</v>
      </c>
      <c r="D457" s="76"/>
      <c r="E457" s="76"/>
      <c r="F457" s="76"/>
      <c r="G457" s="59" t="s">
        <v>1197</v>
      </c>
      <c r="H457" s="40">
        <v>1.5</v>
      </c>
      <c r="I457" s="40">
        <v>0</v>
      </c>
      <c r="J457" s="40">
        <f>H457*AO457</f>
        <v>0</v>
      </c>
      <c r="K457" s="40">
        <f>H457*AP457</f>
        <v>0</v>
      </c>
      <c r="L457" s="40">
        <f>H457*I457</f>
        <v>0</v>
      </c>
      <c r="M457" s="69" t="s">
        <v>868</v>
      </c>
      <c r="Z457" s="40">
        <f>IF(AQ457="5",BJ457,0)</f>
        <v>0</v>
      </c>
      <c r="AB457" s="40">
        <f>IF(AQ457="1",BH457,0)</f>
        <v>0</v>
      </c>
      <c r="AC457" s="40">
        <f>IF(AQ457="1",BI457,0)</f>
        <v>0</v>
      </c>
      <c r="AD457" s="40">
        <f>IF(AQ457="7",BH457,0)</f>
        <v>0</v>
      </c>
      <c r="AE457" s="40">
        <f>IF(AQ457="7",BI457,0)</f>
        <v>0</v>
      </c>
      <c r="AF457" s="40">
        <f>IF(AQ457="2",BH457,0)</f>
        <v>0</v>
      </c>
      <c r="AG457" s="40">
        <f>IF(AQ457="2",BI457,0)</f>
        <v>0</v>
      </c>
      <c r="AH457" s="40">
        <f>IF(AQ457="0",BJ457,0)</f>
        <v>0</v>
      </c>
      <c r="AI457" s="11" t="s">
        <v>349</v>
      </c>
      <c r="AJ457" s="40">
        <f>IF(AN457=0,L457,0)</f>
        <v>0</v>
      </c>
      <c r="AK457" s="40">
        <f>IF(AN457=15,L457,0)</f>
        <v>0</v>
      </c>
      <c r="AL457" s="40">
        <f>IF(AN457=21,L457,0)</f>
        <v>0</v>
      </c>
      <c r="AN457" s="40">
        <v>21</v>
      </c>
      <c r="AO457" s="40">
        <f>I457*1</f>
        <v>0</v>
      </c>
      <c r="AP457" s="40">
        <f>I457*(1-1)</f>
        <v>0</v>
      </c>
      <c r="AQ457" s="17" t="s">
        <v>1260</v>
      </c>
      <c r="AV457" s="40">
        <f>AW457+AX457</f>
        <v>0</v>
      </c>
      <c r="AW457" s="40">
        <f>H457*AO457</f>
        <v>0</v>
      </c>
      <c r="AX457" s="40">
        <f>H457*AP457</f>
        <v>0</v>
      </c>
      <c r="AY457" s="17" t="s">
        <v>614</v>
      </c>
      <c r="AZ457" s="17" t="s">
        <v>232</v>
      </c>
      <c r="BA457" s="11" t="s">
        <v>319</v>
      </c>
      <c r="BC457" s="40">
        <f>AW457+AX457</f>
        <v>0</v>
      </c>
      <c r="BD457" s="40">
        <f>I457/(100-BE457)*100</f>
        <v>0</v>
      </c>
      <c r="BE457" s="40">
        <v>0</v>
      </c>
      <c r="BF457" s="40">
        <f>457</f>
        <v>457</v>
      </c>
      <c r="BH457" s="40">
        <f>H457*AO457</f>
        <v>0</v>
      </c>
      <c r="BI457" s="40">
        <f>H457*AP457</f>
        <v>0</v>
      </c>
      <c r="BJ457" s="40">
        <f>H457*I457</f>
        <v>0</v>
      </c>
      <c r="BK457" s="40"/>
      <c r="BL457" s="40">
        <v>18</v>
      </c>
    </row>
    <row r="458" spans="1:47" ht="15" customHeight="1">
      <c r="A458" s="24" t="s">
        <v>878</v>
      </c>
      <c r="B458" s="66" t="s">
        <v>807</v>
      </c>
      <c r="C458" s="92" t="s">
        <v>428</v>
      </c>
      <c r="D458" s="92"/>
      <c r="E458" s="92"/>
      <c r="F458" s="92"/>
      <c r="G458" s="3" t="s">
        <v>1172</v>
      </c>
      <c r="H458" s="3" t="s">
        <v>1172</v>
      </c>
      <c r="I458" s="3" t="s">
        <v>1172</v>
      </c>
      <c r="J458" s="63">
        <f>SUM(J459:J459)</f>
        <v>0</v>
      </c>
      <c r="K458" s="63">
        <f>SUM(K459:K459)</f>
        <v>0</v>
      </c>
      <c r="L458" s="63">
        <f>SUM(L459:L459)</f>
        <v>0</v>
      </c>
      <c r="M458" s="4" t="s">
        <v>878</v>
      </c>
      <c r="AI458" s="11" t="s">
        <v>349</v>
      </c>
      <c r="AS458" s="63">
        <f>SUM(AJ459:AJ459)</f>
        <v>0</v>
      </c>
      <c r="AT458" s="63">
        <f>SUM(AK459:AK459)</f>
        <v>0</v>
      </c>
      <c r="AU458" s="63">
        <f>SUM(AL459:AL459)</f>
        <v>0</v>
      </c>
    </row>
    <row r="459" spans="1:64" ht="15" customHeight="1">
      <c r="A459" s="19" t="s">
        <v>230</v>
      </c>
      <c r="B459" s="59" t="s">
        <v>866</v>
      </c>
      <c r="C459" s="76" t="s">
        <v>1217</v>
      </c>
      <c r="D459" s="76"/>
      <c r="E459" s="76"/>
      <c r="F459" s="76"/>
      <c r="G459" s="59" t="s">
        <v>1220</v>
      </c>
      <c r="H459" s="40">
        <v>110</v>
      </c>
      <c r="I459" s="40">
        <v>0</v>
      </c>
      <c r="J459" s="40">
        <f>H459*AO459</f>
        <v>0</v>
      </c>
      <c r="K459" s="40">
        <f>H459*AP459</f>
        <v>0</v>
      </c>
      <c r="L459" s="40">
        <f>H459*I459</f>
        <v>0</v>
      </c>
      <c r="M459" s="69" t="s">
        <v>868</v>
      </c>
      <c r="Z459" s="40">
        <f>IF(AQ459="5",BJ459,0)</f>
        <v>0</v>
      </c>
      <c r="AB459" s="40">
        <f>IF(AQ459="1",BH459,0)</f>
        <v>0</v>
      </c>
      <c r="AC459" s="40">
        <f>IF(AQ459="1",BI459,0)</f>
        <v>0</v>
      </c>
      <c r="AD459" s="40">
        <f>IF(AQ459="7",BH459,0)</f>
        <v>0</v>
      </c>
      <c r="AE459" s="40">
        <f>IF(AQ459="7",BI459,0)</f>
        <v>0</v>
      </c>
      <c r="AF459" s="40">
        <f>IF(AQ459="2",BH459,0)</f>
        <v>0</v>
      </c>
      <c r="AG459" s="40">
        <f>IF(AQ459="2",BI459,0)</f>
        <v>0</v>
      </c>
      <c r="AH459" s="40">
        <f>IF(AQ459="0",BJ459,0)</f>
        <v>0</v>
      </c>
      <c r="AI459" s="11" t="s">
        <v>349</v>
      </c>
      <c r="AJ459" s="40">
        <f>IF(AN459=0,L459,0)</f>
        <v>0</v>
      </c>
      <c r="AK459" s="40">
        <f>IF(AN459=15,L459,0)</f>
        <v>0</v>
      </c>
      <c r="AL459" s="40">
        <f>IF(AN459=21,L459,0)</f>
        <v>0</v>
      </c>
      <c r="AN459" s="40">
        <v>21</v>
      </c>
      <c r="AO459" s="40">
        <f>I459*0</f>
        <v>0</v>
      </c>
      <c r="AP459" s="40">
        <f>I459*(1-0)</f>
        <v>0</v>
      </c>
      <c r="AQ459" s="17" t="s">
        <v>1260</v>
      </c>
      <c r="AV459" s="40">
        <f>AW459+AX459</f>
        <v>0</v>
      </c>
      <c r="AW459" s="40">
        <f>H459*AO459</f>
        <v>0</v>
      </c>
      <c r="AX459" s="40">
        <f>H459*AP459</f>
        <v>0</v>
      </c>
      <c r="AY459" s="17" t="s">
        <v>999</v>
      </c>
      <c r="AZ459" s="17" t="s">
        <v>232</v>
      </c>
      <c r="BA459" s="11" t="s">
        <v>319</v>
      </c>
      <c r="BC459" s="40">
        <f>AW459+AX459</f>
        <v>0</v>
      </c>
      <c r="BD459" s="40">
        <f>I459/(100-BE459)*100</f>
        <v>0</v>
      </c>
      <c r="BE459" s="40">
        <v>0</v>
      </c>
      <c r="BF459" s="40">
        <f>459</f>
        <v>459</v>
      </c>
      <c r="BH459" s="40">
        <f>H459*AO459</f>
        <v>0</v>
      </c>
      <c r="BI459" s="40">
        <f>H459*AP459</f>
        <v>0</v>
      </c>
      <c r="BJ459" s="40">
        <f>H459*I459</f>
        <v>0</v>
      </c>
      <c r="BK459" s="40"/>
      <c r="BL459" s="40">
        <v>19</v>
      </c>
    </row>
    <row r="460" spans="1:47" ht="15" customHeight="1">
      <c r="A460" s="24" t="s">
        <v>878</v>
      </c>
      <c r="B460" s="66" t="s">
        <v>432</v>
      </c>
      <c r="C460" s="92" t="s">
        <v>991</v>
      </c>
      <c r="D460" s="92"/>
      <c r="E460" s="92"/>
      <c r="F460" s="92"/>
      <c r="G460" s="3" t="s">
        <v>1172</v>
      </c>
      <c r="H460" s="3" t="s">
        <v>1172</v>
      </c>
      <c r="I460" s="3" t="s">
        <v>1172</v>
      </c>
      <c r="J460" s="63">
        <f>SUM(J461:J461)</f>
        <v>0</v>
      </c>
      <c r="K460" s="63">
        <f>SUM(K461:K461)</f>
        <v>0</v>
      </c>
      <c r="L460" s="63">
        <f>SUM(L461:L461)</f>
        <v>0</v>
      </c>
      <c r="M460" s="4" t="s">
        <v>878</v>
      </c>
      <c r="AI460" s="11" t="s">
        <v>349</v>
      </c>
      <c r="AS460" s="63">
        <f>SUM(AJ461:AJ461)</f>
        <v>0</v>
      </c>
      <c r="AT460" s="63">
        <f>SUM(AK461:AK461)</f>
        <v>0</v>
      </c>
      <c r="AU460" s="63">
        <f>SUM(AL461:AL461)</f>
        <v>0</v>
      </c>
    </row>
    <row r="461" spans="1:64" ht="15" customHeight="1">
      <c r="A461" s="19" t="s">
        <v>1366</v>
      </c>
      <c r="B461" s="59" t="s">
        <v>898</v>
      </c>
      <c r="C461" s="76" t="s">
        <v>370</v>
      </c>
      <c r="D461" s="76"/>
      <c r="E461" s="76"/>
      <c r="F461" s="76"/>
      <c r="G461" s="59" t="s">
        <v>1220</v>
      </c>
      <c r="H461" s="40">
        <v>24.435</v>
      </c>
      <c r="I461" s="40">
        <v>0</v>
      </c>
      <c r="J461" s="40">
        <f>H461*AO461</f>
        <v>0</v>
      </c>
      <c r="K461" s="40">
        <f>H461*AP461</f>
        <v>0</v>
      </c>
      <c r="L461" s="40">
        <f>H461*I461</f>
        <v>0</v>
      </c>
      <c r="M461" s="69" t="s">
        <v>868</v>
      </c>
      <c r="Z461" s="40">
        <f>IF(AQ461="5",BJ461,0)</f>
        <v>0</v>
      </c>
      <c r="AB461" s="40">
        <f>IF(AQ461="1",BH461,0)</f>
        <v>0</v>
      </c>
      <c r="AC461" s="40">
        <f>IF(AQ461="1",BI461,0)</f>
        <v>0</v>
      </c>
      <c r="AD461" s="40">
        <f>IF(AQ461="7",BH461,0)</f>
        <v>0</v>
      </c>
      <c r="AE461" s="40">
        <f>IF(AQ461="7",BI461,0)</f>
        <v>0</v>
      </c>
      <c r="AF461" s="40">
        <f>IF(AQ461="2",BH461,0)</f>
        <v>0</v>
      </c>
      <c r="AG461" s="40">
        <f>IF(AQ461="2",BI461,0)</f>
        <v>0</v>
      </c>
      <c r="AH461" s="40">
        <f>IF(AQ461="0",BJ461,0)</f>
        <v>0</v>
      </c>
      <c r="AI461" s="11" t="s">
        <v>349</v>
      </c>
      <c r="AJ461" s="40">
        <f>IF(AN461=0,L461,0)</f>
        <v>0</v>
      </c>
      <c r="AK461" s="40">
        <f>IF(AN461=15,L461,0)</f>
        <v>0</v>
      </c>
      <c r="AL461" s="40">
        <f>IF(AN461=21,L461,0)</f>
        <v>0</v>
      </c>
      <c r="AN461" s="40">
        <v>21</v>
      </c>
      <c r="AO461" s="40">
        <f>I461*0.480904558404558</f>
        <v>0</v>
      </c>
      <c r="AP461" s="40">
        <f>I461*(1-0.480904558404558)</f>
        <v>0</v>
      </c>
      <c r="AQ461" s="17" t="s">
        <v>1260</v>
      </c>
      <c r="AV461" s="40">
        <f>AW461+AX461</f>
        <v>0</v>
      </c>
      <c r="AW461" s="40">
        <f>H461*AO461</f>
        <v>0</v>
      </c>
      <c r="AX461" s="40">
        <f>H461*AP461</f>
        <v>0</v>
      </c>
      <c r="AY461" s="17" t="s">
        <v>604</v>
      </c>
      <c r="AZ461" s="17" t="s">
        <v>1336</v>
      </c>
      <c r="BA461" s="11" t="s">
        <v>319</v>
      </c>
      <c r="BC461" s="40">
        <f>AW461+AX461</f>
        <v>0</v>
      </c>
      <c r="BD461" s="40">
        <f>I461/(100-BE461)*100</f>
        <v>0</v>
      </c>
      <c r="BE461" s="40">
        <v>0</v>
      </c>
      <c r="BF461" s="40">
        <f>461</f>
        <v>461</v>
      </c>
      <c r="BH461" s="40">
        <f>H461*AO461</f>
        <v>0</v>
      </c>
      <c r="BI461" s="40">
        <f>H461*AP461</f>
        <v>0</v>
      </c>
      <c r="BJ461" s="40">
        <f>H461*I461</f>
        <v>0</v>
      </c>
      <c r="BK461" s="40"/>
      <c r="BL461" s="40">
        <v>45</v>
      </c>
    </row>
    <row r="462" spans="1:47" ht="15" customHeight="1">
      <c r="A462" s="24" t="s">
        <v>878</v>
      </c>
      <c r="B462" s="66" t="s">
        <v>63</v>
      </c>
      <c r="C462" s="92" t="s">
        <v>100</v>
      </c>
      <c r="D462" s="92"/>
      <c r="E462" s="92"/>
      <c r="F462" s="92"/>
      <c r="G462" s="3" t="s">
        <v>1172</v>
      </c>
      <c r="H462" s="3" t="s">
        <v>1172</v>
      </c>
      <c r="I462" s="3" t="s">
        <v>1172</v>
      </c>
      <c r="J462" s="63">
        <f>SUM(J463:J467)</f>
        <v>0</v>
      </c>
      <c r="K462" s="63">
        <f>SUM(K463:K467)</f>
        <v>0</v>
      </c>
      <c r="L462" s="63">
        <f>SUM(L463:L467)</f>
        <v>0</v>
      </c>
      <c r="M462" s="4" t="s">
        <v>878</v>
      </c>
      <c r="AI462" s="11" t="s">
        <v>349</v>
      </c>
      <c r="AS462" s="63">
        <f>SUM(AJ463:AJ467)</f>
        <v>0</v>
      </c>
      <c r="AT462" s="63">
        <f>SUM(AK463:AK467)</f>
        <v>0</v>
      </c>
      <c r="AU462" s="63">
        <f>SUM(AL463:AL467)</f>
        <v>0</v>
      </c>
    </row>
    <row r="463" spans="1:64" ht="15" customHeight="1">
      <c r="A463" s="19" t="s">
        <v>922</v>
      </c>
      <c r="B463" s="59" t="s">
        <v>1157</v>
      </c>
      <c r="C463" s="76" t="s">
        <v>916</v>
      </c>
      <c r="D463" s="76"/>
      <c r="E463" s="76"/>
      <c r="F463" s="76"/>
      <c r="G463" s="59" t="s">
        <v>1041</v>
      </c>
      <c r="H463" s="40">
        <v>295.3</v>
      </c>
      <c r="I463" s="40">
        <v>0</v>
      </c>
      <c r="J463" s="40">
        <f>H463*AO463</f>
        <v>0</v>
      </c>
      <c r="K463" s="40">
        <f>H463*AP463</f>
        <v>0</v>
      </c>
      <c r="L463" s="40">
        <f>H463*I463</f>
        <v>0</v>
      </c>
      <c r="M463" s="69" t="s">
        <v>868</v>
      </c>
      <c r="Z463" s="40">
        <f>IF(AQ463="5",BJ463,0)</f>
        <v>0</v>
      </c>
      <c r="AB463" s="40">
        <f>IF(AQ463="1",BH463,0)</f>
        <v>0</v>
      </c>
      <c r="AC463" s="40">
        <f>IF(AQ463="1",BI463,0)</f>
        <v>0</v>
      </c>
      <c r="AD463" s="40">
        <f>IF(AQ463="7",BH463,0)</f>
        <v>0</v>
      </c>
      <c r="AE463" s="40">
        <f>IF(AQ463="7",BI463,0)</f>
        <v>0</v>
      </c>
      <c r="AF463" s="40">
        <f>IF(AQ463="2",BH463,0)</f>
        <v>0</v>
      </c>
      <c r="AG463" s="40">
        <f>IF(AQ463="2",BI463,0)</f>
        <v>0</v>
      </c>
      <c r="AH463" s="40">
        <f>IF(AQ463="0",BJ463,0)</f>
        <v>0</v>
      </c>
      <c r="AI463" s="11" t="s">
        <v>349</v>
      </c>
      <c r="AJ463" s="40">
        <f>IF(AN463=0,L463,0)</f>
        <v>0</v>
      </c>
      <c r="AK463" s="40">
        <f>IF(AN463=15,L463,0)</f>
        <v>0</v>
      </c>
      <c r="AL463" s="40">
        <f>IF(AN463=21,L463,0)</f>
        <v>0</v>
      </c>
      <c r="AN463" s="40">
        <v>21</v>
      </c>
      <c r="AO463" s="40">
        <f>I463*0</f>
        <v>0</v>
      </c>
      <c r="AP463" s="40">
        <f>I463*(1-0)</f>
        <v>0</v>
      </c>
      <c r="AQ463" s="17" t="s">
        <v>1260</v>
      </c>
      <c r="AV463" s="40">
        <f>AW463+AX463</f>
        <v>0</v>
      </c>
      <c r="AW463" s="40">
        <f>H463*AO463</f>
        <v>0</v>
      </c>
      <c r="AX463" s="40">
        <f>H463*AP463</f>
        <v>0</v>
      </c>
      <c r="AY463" s="17" t="s">
        <v>88</v>
      </c>
      <c r="AZ463" s="17" t="s">
        <v>694</v>
      </c>
      <c r="BA463" s="11" t="s">
        <v>319</v>
      </c>
      <c r="BC463" s="40">
        <f>AW463+AX463</f>
        <v>0</v>
      </c>
      <c r="BD463" s="40">
        <f>I463/(100-BE463)*100</f>
        <v>0</v>
      </c>
      <c r="BE463" s="40">
        <v>0</v>
      </c>
      <c r="BF463" s="40">
        <f>463</f>
        <v>463</v>
      </c>
      <c r="BH463" s="40">
        <f>H463*AO463</f>
        <v>0</v>
      </c>
      <c r="BI463" s="40">
        <f>H463*AP463</f>
        <v>0</v>
      </c>
      <c r="BJ463" s="40">
        <f>H463*I463</f>
        <v>0</v>
      </c>
      <c r="BK463" s="40"/>
      <c r="BL463" s="40">
        <v>87</v>
      </c>
    </row>
    <row r="464" spans="1:64" ht="15" customHeight="1">
      <c r="A464" s="19" t="s">
        <v>851</v>
      </c>
      <c r="B464" s="59" t="s">
        <v>735</v>
      </c>
      <c r="C464" s="76" t="s">
        <v>175</v>
      </c>
      <c r="D464" s="76"/>
      <c r="E464" s="76"/>
      <c r="F464" s="76"/>
      <c r="G464" s="59" t="s">
        <v>1041</v>
      </c>
      <c r="H464" s="40">
        <v>298.253</v>
      </c>
      <c r="I464" s="40">
        <v>0</v>
      </c>
      <c r="J464" s="40">
        <f>H464*AO464</f>
        <v>0</v>
      </c>
      <c r="K464" s="40">
        <f>H464*AP464</f>
        <v>0</v>
      </c>
      <c r="L464" s="40">
        <f>H464*I464</f>
        <v>0</v>
      </c>
      <c r="M464" s="69" t="s">
        <v>868</v>
      </c>
      <c r="Z464" s="40">
        <f>IF(AQ464="5",BJ464,0)</f>
        <v>0</v>
      </c>
      <c r="AB464" s="40">
        <f>IF(AQ464="1",BH464,0)</f>
        <v>0</v>
      </c>
      <c r="AC464" s="40">
        <f>IF(AQ464="1",BI464,0)</f>
        <v>0</v>
      </c>
      <c r="AD464" s="40">
        <f>IF(AQ464="7",BH464,0)</f>
        <v>0</v>
      </c>
      <c r="AE464" s="40">
        <f>IF(AQ464="7",BI464,0)</f>
        <v>0</v>
      </c>
      <c r="AF464" s="40">
        <f>IF(AQ464="2",BH464,0)</f>
        <v>0</v>
      </c>
      <c r="AG464" s="40">
        <f>IF(AQ464="2",BI464,0)</f>
        <v>0</v>
      </c>
      <c r="AH464" s="40">
        <f>IF(AQ464="0",BJ464,0)</f>
        <v>0</v>
      </c>
      <c r="AI464" s="11" t="s">
        <v>349</v>
      </c>
      <c r="AJ464" s="40">
        <f>IF(AN464=0,L464,0)</f>
        <v>0</v>
      </c>
      <c r="AK464" s="40">
        <f>IF(AN464=15,L464,0)</f>
        <v>0</v>
      </c>
      <c r="AL464" s="40">
        <f>IF(AN464=21,L464,0)</f>
        <v>0</v>
      </c>
      <c r="AN464" s="40">
        <v>21</v>
      </c>
      <c r="AO464" s="40">
        <f>I464*1</f>
        <v>0</v>
      </c>
      <c r="AP464" s="40">
        <f>I464*(1-1)</f>
        <v>0</v>
      </c>
      <c r="AQ464" s="17" t="s">
        <v>1260</v>
      </c>
      <c r="AV464" s="40">
        <f>AW464+AX464</f>
        <v>0</v>
      </c>
      <c r="AW464" s="40">
        <f>H464*AO464</f>
        <v>0</v>
      </c>
      <c r="AX464" s="40">
        <f>H464*AP464</f>
        <v>0</v>
      </c>
      <c r="AY464" s="17" t="s">
        <v>88</v>
      </c>
      <c r="AZ464" s="17" t="s">
        <v>694</v>
      </c>
      <c r="BA464" s="11" t="s">
        <v>319</v>
      </c>
      <c r="BC464" s="40">
        <f>AW464+AX464</f>
        <v>0</v>
      </c>
      <c r="BD464" s="40">
        <f>I464/(100-BE464)*100</f>
        <v>0</v>
      </c>
      <c r="BE464" s="40">
        <v>0</v>
      </c>
      <c r="BF464" s="40">
        <f>464</f>
        <v>464</v>
      </c>
      <c r="BH464" s="40">
        <f>H464*AO464</f>
        <v>0</v>
      </c>
      <c r="BI464" s="40">
        <f>H464*AP464</f>
        <v>0</v>
      </c>
      <c r="BJ464" s="40">
        <f>H464*I464</f>
        <v>0</v>
      </c>
      <c r="BK464" s="40"/>
      <c r="BL464" s="40">
        <v>87</v>
      </c>
    </row>
    <row r="465" spans="1:64" ht="15" customHeight="1">
      <c r="A465" s="19" t="s">
        <v>1327</v>
      </c>
      <c r="B465" s="59" t="s">
        <v>539</v>
      </c>
      <c r="C465" s="76" t="s">
        <v>1297</v>
      </c>
      <c r="D465" s="76"/>
      <c r="E465" s="76"/>
      <c r="F465" s="76"/>
      <c r="G465" s="59" t="s">
        <v>312</v>
      </c>
      <c r="H465" s="40">
        <v>24</v>
      </c>
      <c r="I465" s="40">
        <v>0</v>
      </c>
      <c r="J465" s="40">
        <f>H465*AO465</f>
        <v>0</v>
      </c>
      <c r="K465" s="40">
        <f>H465*AP465</f>
        <v>0</v>
      </c>
      <c r="L465" s="40">
        <f>H465*I465</f>
        <v>0</v>
      </c>
      <c r="M465" s="69" t="s">
        <v>868</v>
      </c>
      <c r="Z465" s="40">
        <f>IF(AQ465="5",BJ465,0)</f>
        <v>0</v>
      </c>
      <c r="AB465" s="40">
        <f>IF(AQ465="1",BH465,0)</f>
        <v>0</v>
      </c>
      <c r="AC465" s="40">
        <f>IF(AQ465="1",BI465,0)</f>
        <v>0</v>
      </c>
      <c r="AD465" s="40">
        <f>IF(AQ465="7",BH465,0)</f>
        <v>0</v>
      </c>
      <c r="AE465" s="40">
        <f>IF(AQ465="7",BI465,0)</f>
        <v>0</v>
      </c>
      <c r="AF465" s="40">
        <f>IF(AQ465="2",BH465,0)</f>
        <v>0</v>
      </c>
      <c r="AG465" s="40">
        <f>IF(AQ465="2",BI465,0)</f>
        <v>0</v>
      </c>
      <c r="AH465" s="40">
        <f>IF(AQ465="0",BJ465,0)</f>
        <v>0</v>
      </c>
      <c r="AI465" s="11" t="s">
        <v>349</v>
      </c>
      <c r="AJ465" s="40">
        <f>IF(AN465=0,L465,0)</f>
        <v>0</v>
      </c>
      <c r="AK465" s="40">
        <f>IF(AN465=15,L465,0)</f>
        <v>0</v>
      </c>
      <c r="AL465" s="40">
        <f>IF(AN465=21,L465,0)</f>
        <v>0</v>
      </c>
      <c r="AN465" s="40">
        <v>21</v>
      </c>
      <c r="AO465" s="40">
        <f>I465*0</f>
        <v>0</v>
      </c>
      <c r="AP465" s="40">
        <f>I465*(1-0)</f>
        <v>0</v>
      </c>
      <c r="AQ465" s="17" t="s">
        <v>1260</v>
      </c>
      <c r="AV465" s="40">
        <f>AW465+AX465</f>
        <v>0</v>
      </c>
      <c r="AW465" s="40">
        <f>H465*AO465</f>
        <v>0</v>
      </c>
      <c r="AX465" s="40">
        <f>H465*AP465</f>
        <v>0</v>
      </c>
      <c r="AY465" s="17" t="s">
        <v>88</v>
      </c>
      <c r="AZ465" s="17" t="s">
        <v>694</v>
      </c>
      <c r="BA465" s="11" t="s">
        <v>319</v>
      </c>
      <c r="BC465" s="40">
        <f>AW465+AX465</f>
        <v>0</v>
      </c>
      <c r="BD465" s="40">
        <f>I465/(100-BE465)*100</f>
        <v>0</v>
      </c>
      <c r="BE465" s="40">
        <v>0</v>
      </c>
      <c r="BF465" s="40">
        <f>465</f>
        <v>465</v>
      </c>
      <c r="BH465" s="40">
        <f>H465*AO465</f>
        <v>0</v>
      </c>
      <c r="BI465" s="40">
        <f>H465*AP465</f>
        <v>0</v>
      </c>
      <c r="BJ465" s="40">
        <f>H465*I465</f>
        <v>0</v>
      </c>
      <c r="BK465" s="40"/>
      <c r="BL465" s="40">
        <v>87</v>
      </c>
    </row>
    <row r="466" spans="1:64" ht="15" customHeight="1">
      <c r="A466" s="19" t="s">
        <v>1305</v>
      </c>
      <c r="B466" s="59" t="s">
        <v>1358</v>
      </c>
      <c r="C466" s="76" t="s">
        <v>547</v>
      </c>
      <c r="D466" s="76"/>
      <c r="E466" s="76"/>
      <c r="F466" s="76"/>
      <c r="G466" s="59" t="s">
        <v>312</v>
      </c>
      <c r="H466" s="40">
        <v>24</v>
      </c>
      <c r="I466" s="40">
        <v>0</v>
      </c>
      <c r="J466" s="40">
        <f>H466*AO466</f>
        <v>0</v>
      </c>
      <c r="K466" s="40">
        <f>H466*AP466</f>
        <v>0</v>
      </c>
      <c r="L466" s="40">
        <f>H466*I466</f>
        <v>0</v>
      </c>
      <c r="M466" s="69" t="s">
        <v>868</v>
      </c>
      <c r="Z466" s="40">
        <f>IF(AQ466="5",BJ466,0)</f>
        <v>0</v>
      </c>
      <c r="AB466" s="40">
        <f>IF(AQ466="1",BH466,0)</f>
        <v>0</v>
      </c>
      <c r="AC466" s="40">
        <f>IF(AQ466="1",BI466,0)</f>
        <v>0</v>
      </c>
      <c r="AD466" s="40">
        <f>IF(AQ466="7",BH466,0)</f>
        <v>0</v>
      </c>
      <c r="AE466" s="40">
        <f>IF(AQ466="7",BI466,0)</f>
        <v>0</v>
      </c>
      <c r="AF466" s="40">
        <f>IF(AQ466="2",BH466,0)</f>
        <v>0</v>
      </c>
      <c r="AG466" s="40">
        <f>IF(AQ466="2",BI466,0)</f>
        <v>0</v>
      </c>
      <c r="AH466" s="40">
        <f>IF(AQ466="0",BJ466,0)</f>
        <v>0</v>
      </c>
      <c r="AI466" s="11" t="s">
        <v>349</v>
      </c>
      <c r="AJ466" s="40">
        <f>IF(AN466=0,L466,0)</f>
        <v>0</v>
      </c>
      <c r="AK466" s="40">
        <f>IF(AN466=15,L466,0)</f>
        <v>0</v>
      </c>
      <c r="AL466" s="40">
        <f>IF(AN466=21,L466,0)</f>
        <v>0</v>
      </c>
      <c r="AN466" s="40">
        <v>21</v>
      </c>
      <c r="AO466" s="40">
        <f>I466*1</f>
        <v>0</v>
      </c>
      <c r="AP466" s="40">
        <f>I466*(1-1)</f>
        <v>0</v>
      </c>
      <c r="AQ466" s="17" t="s">
        <v>1260</v>
      </c>
      <c r="AV466" s="40">
        <f>AW466+AX466</f>
        <v>0</v>
      </c>
      <c r="AW466" s="40">
        <f>H466*AO466</f>
        <v>0</v>
      </c>
      <c r="AX466" s="40">
        <f>H466*AP466</f>
        <v>0</v>
      </c>
      <c r="AY466" s="17" t="s">
        <v>88</v>
      </c>
      <c r="AZ466" s="17" t="s">
        <v>694</v>
      </c>
      <c r="BA466" s="11" t="s">
        <v>319</v>
      </c>
      <c r="BC466" s="40">
        <f>AW466+AX466</f>
        <v>0</v>
      </c>
      <c r="BD466" s="40">
        <f>I466/(100-BE466)*100</f>
        <v>0</v>
      </c>
      <c r="BE466" s="40">
        <v>0</v>
      </c>
      <c r="BF466" s="40">
        <f>466</f>
        <v>466</v>
      </c>
      <c r="BH466" s="40">
        <f>H466*AO466</f>
        <v>0</v>
      </c>
      <c r="BI466" s="40">
        <f>H466*AP466</f>
        <v>0</v>
      </c>
      <c r="BJ466" s="40">
        <f>H466*I466</f>
        <v>0</v>
      </c>
      <c r="BK466" s="40"/>
      <c r="BL466" s="40">
        <v>87</v>
      </c>
    </row>
    <row r="467" spans="1:64" ht="15" customHeight="1">
      <c r="A467" s="19" t="s">
        <v>278</v>
      </c>
      <c r="B467" s="59" t="s">
        <v>778</v>
      </c>
      <c r="C467" s="76" t="s">
        <v>337</v>
      </c>
      <c r="D467" s="76"/>
      <c r="E467" s="76"/>
      <c r="F467" s="76"/>
      <c r="G467" s="59" t="s">
        <v>312</v>
      </c>
      <c r="H467" s="40">
        <v>23</v>
      </c>
      <c r="I467" s="40">
        <v>0</v>
      </c>
      <c r="J467" s="40">
        <f>H467*AO467</f>
        <v>0</v>
      </c>
      <c r="K467" s="40">
        <f>H467*AP467</f>
        <v>0</v>
      </c>
      <c r="L467" s="40">
        <f>H467*I467</f>
        <v>0</v>
      </c>
      <c r="M467" s="69" t="s">
        <v>868</v>
      </c>
      <c r="Z467" s="40">
        <f>IF(AQ467="5",BJ467,0)</f>
        <v>0</v>
      </c>
      <c r="AB467" s="40">
        <f>IF(AQ467="1",BH467,0)</f>
        <v>0</v>
      </c>
      <c r="AC467" s="40">
        <f>IF(AQ467="1",BI467,0)</f>
        <v>0</v>
      </c>
      <c r="AD467" s="40">
        <f>IF(AQ467="7",BH467,0)</f>
        <v>0</v>
      </c>
      <c r="AE467" s="40">
        <f>IF(AQ467="7",BI467,0)</f>
        <v>0</v>
      </c>
      <c r="AF467" s="40">
        <f>IF(AQ467="2",BH467,0)</f>
        <v>0</v>
      </c>
      <c r="AG467" s="40">
        <f>IF(AQ467="2",BI467,0)</f>
        <v>0</v>
      </c>
      <c r="AH467" s="40">
        <f>IF(AQ467="0",BJ467,0)</f>
        <v>0</v>
      </c>
      <c r="AI467" s="11" t="s">
        <v>349</v>
      </c>
      <c r="AJ467" s="40">
        <f>IF(AN467=0,L467,0)</f>
        <v>0</v>
      </c>
      <c r="AK467" s="40">
        <f>IF(AN467=15,L467,0)</f>
        <v>0</v>
      </c>
      <c r="AL467" s="40">
        <f>IF(AN467=21,L467,0)</f>
        <v>0</v>
      </c>
      <c r="AN467" s="40">
        <v>21</v>
      </c>
      <c r="AO467" s="40">
        <f>I467*1</f>
        <v>0</v>
      </c>
      <c r="AP467" s="40">
        <f>I467*(1-1)</f>
        <v>0</v>
      </c>
      <c r="AQ467" s="17" t="s">
        <v>1260</v>
      </c>
      <c r="AV467" s="40">
        <f>AW467+AX467</f>
        <v>0</v>
      </c>
      <c r="AW467" s="40">
        <f>H467*AO467</f>
        <v>0</v>
      </c>
      <c r="AX467" s="40">
        <f>H467*AP467</f>
        <v>0</v>
      </c>
      <c r="AY467" s="17" t="s">
        <v>88</v>
      </c>
      <c r="AZ467" s="17" t="s">
        <v>694</v>
      </c>
      <c r="BA467" s="11" t="s">
        <v>319</v>
      </c>
      <c r="BC467" s="40">
        <f>AW467+AX467</f>
        <v>0</v>
      </c>
      <c r="BD467" s="40">
        <f>I467/(100-BE467)*100</f>
        <v>0</v>
      </c>
      <c r="BE467" s="40">
        <v>0</v>
      </c>
      <c r="BF467" s="40">
        <f>467</f>
        <v>467</v>
      </c>
      <c r="BH467" s="40">
        <f>H467*AO467</f>
        <v>0</v>
      </c>
      <c r="BI467" s="40">
        <f>H467*AP467</f>
        <v>0</v>
      </c>
      <c r="BJ467" s="40">
        <f>H467*I467</f>
        <v>0</v>
      </c>
      <c r="BK467" s="40"/>
      <c r="BL467" s="40">
        <v>87</v>
      </c>
    </row>
    <row r="468" spans="1:47" ht="15" customHeight="1">
      <c r="A468" s="24" t="s">
        <v>878</v>
      </c>
      <c r="B468" s="66" t="s">
        <v>1338</v>
      </c>
      <c r="C468" s="92" t="s">
        <v>823</v>
      </c>
      <c r="D468" s="92"/>
      <c r="E468" s="92"/>
      <c r="F468" s="92"/>
      <c r="G468" s="3" t="s">
        <v>1172</v>
      </c>
      <c r="H468" s="3" t="s">
        <v>1172</v>
      </c>
      <c r="I468" s="3" t="s">
        <v>1172</v>
      </c>
      <c r="J468" s="63">
        <f>SUM(J469:J473)</f>
        <v>0</v>
      </c>
      <c r="K468" s="63">
        <f>SUM(K469:K473)</f>
        <v>0</v>
      </c>
      <c r="L468" s="63">
        <f>SUM(L469:L473)</f>
        <v>0</v>
      </c>
      <c r="M468" s="4" t="s">
        <v>878</v>
      </c>
      <c r="AI468" s="11" t="s">
        <v>349</v>
      </c>
      <c r="AS468" s="63">
        <f>SUM(AJ469:AJ473)</f>
        <v>0</v>
      </c>
      <c r="AT468" s="63">
        <f>SUM(AK469:AK473)</f>
        <v>0</v>
      </c>
      <c r="AU468" s="63">
        <f>SUM(AL469:AL473)</f>
        <v>0</v>
      </c>
    </row>
    <row r="469" spans="1:64" ht="15" customHeight="1">
      <c r="A469" s="19" t="s">
        <v>1273</v>
      </c>
      <c r="B469" s="59" t="s">
        <v>239</v>
      </c>
      <c r="C469" s="76" t="s">
        <v>1344</v>
      </c>
      <c r="D469" s="76"/>
      <c r="E469" s="76"/>
      <c r="F469" s="76"/>
      <c r="G469" s="59" t="s">
        <v>1041</v>
      </c>
      <c r="H469" s="40">
        <v>314.16</v>
      </c>
      <c r="I469" s="40">
        <v>0</v>
      </c>
      <c r="J469" s="40">
        <f>H469*AO469</f>
        <v>0</v>
      </c>
      <c r="K469" s="40">
        <f>H469*AP469</f>
        <v>0</v>
      </c>
      <c r="L469" s="40">
        <f>H469*I469</f>
        <v>0</v>
      </c>
      <c r="M469" s="69" t="s">
        <v>868</v>
      </c>
      <c r="Z469" s="40">
        <f>IF(AQ469="5",BJ469,0)</f>
        <v>0</v>
      </c>
      <c r="AB469" s="40">
        <f>IF(AQ469="1",BH469,0)</f>
        <v>0</v>
      </c>
      <c r="AC469" s="40">
        <f>IF(AQ469="1",BI469,0)</f>
        <v>0</v>
      </c>
      <c r="AD469" s="40">
        <f>IF(AQ469="7",BH469,0)</f>
        <v>0</v>
      </c>
      <c r="AE469" s="40">
        <f>IF(AQ469="7",BI469,0)</f>
        <v>0</v>
      </c>
      <c r="AF469" s="40">
        <f>IF(AQ469="2",BH469,0)</f>
        <v>0</v>
      </c>
      <c r="AG469" s="40">
        <f>IF(AQ469="2",BI469,0)</f>
        <v>0</v>
      </c>
      <c r="AH469" s="40">
        <f>IF(AQ469="0",BJ469,0)</f>
        <v>0</v>
      </c>
      <c r="AI469" s="11" t="s">
        <v>349</v>
      </c>
      <c r="AJ469" s="40">
        <f>IF(AN469=0,L469,0)</f>
        <v>0</v>
      </c>
      <c r="AK469" s="40">
        <f>IF(AN469=15,L469,0)</f>
        <v>0</v>
      </c>
      <c r="AL469" s="40">
        <f>IF(AN469=21,L469,0)</f>
        <v>0</v>
      </c>
      <c r="AN469" s="40">
        <v>21</v>
      </c>
      <c r="AO469" s="40">
        <f>I469*0.322424242424242</f>
        <v>0</v>
      </c>
      <c r="AP469" s="40">
        <f>I469*(1-0.322424242424242)</f>
        <v>0</v>
      </c>
      <c r="AQ469" s="17" t="s">
        <v>1260</v>
      </c>
      <c r="AV469" s="40">
        <f>AW469+AX469</f>
        <v>0</v>
      </c>
      <c r="AW469" s="40">
        <f>H469*AO469</f>
        <v>0</v>
      </c>
      <c r="AX469" s="40">
        <f>H469*AP469</f>
        <v>0</v>
      </c>
      <c r="AY469" s="17" t="s">
        <v>106</v>
      </c>
      <c r="AZ469" s="17" t="s">
        <v>694</v>
      </c>
      <c r="BA469" s="11" t="s">
        <v>319</v>
      </c>
      <c r="BC469" s="40">
        <f>AW469+AX469</f>
        <v>0</v>
      </c>
      <c r="BD469" s="40">
        <f>I469/(100-BE469)*100</f>
        <v>0</v>
      </c>
      <c r="BE469" s="40">
        <v>0</v>
      </c>
      <c r="BF469" s="40">
        <f>469</f>
        <v>469</v>
      </c>
      <c r="BH469" s="40">
        <f>H469*AO469</f>
        <v>0</v>
      </c>
      <c r="BI469" s="40">
        <f>H469*AP469</f>
        <v>0</v>
      </c>
      <c r="BJ469" s="40">
        <f>H469*I469</f>
        <v>0</v>
      </c>
      <c r="BK469" s="40"/>
      <c r="BL469" s="40">
        <v>89</v>
      </c>
    </row>
    <row r="470" spans="1:64" ht="15" customHeight="1">
      <c r="A470" s="19" t="s">
        <v>906</v>
      </c>
      <c r="B470" s="59" t="s">
        <v>6</v>
      </c>
      <c r="C470" s="76" t="s">
        <v>1392</v>
      </c>
      <c r="D470" s="76"/>
      <c r="E470" s="76"/>
      <c r="F470" s="76"/>
      <c r="G470" s="59" t="s">
        <v>1041</v>
      </c>
      <c r="H470" s="40">
        <v>309.75</v>
      </c>
      <c r="I470" s="40">
        <v>0</v>
      </c>
      <c r="J470" s="40">
        <f>H470*AO470</f>
        <v>0</v>
      </c>
      <c r="K470" s="40">
        <f>H470*AP470</f>
        <v>0</v>
      </c>
      <c r="L470" s="40">
        <f>H470*I470</f>
        <v>0</v>
      </c>
      <c r="M470" s="69" t="s">
        <v>868</v>
      </c>
      <c r="Z470" s="40">
        <f>IF(AQ470="5",BJ470,0)</f>
        <v>0</v>
      </c>
      <c r="AB470" s="40">
        <f>IF(AQ470="1",BH470,0)</f>
        <v>0</v>
      </c>
      <c r="AC470" s="40">
        <f>IF(AQ470="1",BI470,0)</f>
        <v>0</v>
      </c>
      <c r="AD470" s="40">
        <f>IF(AQ470="7",BH470,0)</f>
        <v>0</v>
      </c>
      <c r="AE470" s="40">
        <f>IF(AQ470="7",BI470,0)</f>
        <v>0</v>
      </c>
      <c r="AF470" s="40">
        <f>IF(AQ470="2",BH470,0)</f>
        <v>0</v>
      </c>
      <c r="AG470" s="40">
        <f>IF(AQ470="2",BI470,0)</f>
        <v>0</v>
      </c>
      <c r="AH470" s="40">
        <f>IF(AQ470="0",BJ470,0)</f>
        <v>0</v>
      </c>
      <c r="AI470" s="11" t="s">
        <v>349</v>
      </c>
      <c r="AJ470" s="40">
        <f>IF(AN470=0,L470,0)</f>
        <v>0</v>
      </c>
      <c r="AK470" s="40">
        <f>IF(AN470=15,L470,0)</f>
        <v>0</v>
      </c>
      <c r="AL470" s="40">
        <f>IF(AN470=21,L470,0)</f>
        <v>0</v>
      </c>
      <c r="AN470" s="40">
        <v>21</v>
      </c>
      <c r="AO470" s="40">
        <f>I470*0.591899441340782</f>
        <v>0</v>
      </c>
      <c r="AP470" s="40">
        <f>I470*(1-0.591899441340782)</f>
        <v>0</v>
      </c>
      <c r="AQ470" s="17" t="s">
        <v>1260</v>
      </c>
      <c r="AV470" s="40">
        <f>AW470+AX470</f>
        <v>0</v>
      </c>
      <c r="AW470" s="40">
        <f>H470*AO470</f>
        <v>0</v>
      </c>
      <c r="AX470" s="40">
        <f>H470*AP470</f>
        <v>0</v>
      </c>
      <c r="AY470" s="17" t="s">
        <v>106</v>
      </c>
      <c r="AZ470" s="17" t="s">
        <v>694</v>
      </c>
      <c r="BA470" s="11" t="s">
        <v>319</v>
      </c>
      <c r="BC470" s="40">
        <f>AW470+AX470</f>
        <v>0</v>
      </c>
      <c r="BD470" s="40">
        <f>I470/(100-BE470)*100</f>
        <v>0</v>
      </c>
      <c r="BE470" s="40">
        <v>0</v>
      </c>
      <c r="BF470" s="40">
        <f>470</f>
        <v>470</v>
      </c>
      <c r="BH470" s="40">
        <f>H470*AO470</f>
        <v>0</v>
      </c>
      <c r="BI470" s="40">
        <f>H470*AP470</f>
        <v>0</v>
      </c>
      <c r="BJ470" s="40">
        <f>H470*I470</f>
        <v>0</v>
      </c>
      <c r="BK470" s="40"/>
      <c r="BL470" s="40">
        <v>89</v>
      </c>
    </row>
    <row r="471" spans="1:64" ht="15" customHeight="1">
      <c r="A471" s="19" t="s">
        <v>164</v>
      </c>
      <c r="B471" s="59" t="s">
        <v>1179</v>
      </c>
      <c r="C471" s="76" t="s">
        <v>250</v>
      </c>
      <c r="D471" s="76"/>
      <c r="E471" s="76"/>
      <c r="F471" s="76"/>
      <c r="G471" s="59" t="s">
        <v>1041</v>
      </c>
      <c r="H471" s="40">
        <v>295.3</v>
      </c>
      <c r="I471" s="40">
        <v>0</v>
      </c>
      <c r="J471" s="40">
        <f>H471*AO471</f>
        <v>0</v>
      </c>
      <c r="K471" s="40">
        <f>H471*AP471</f>
        <v>0</v>
      </c>
      <c r="L471" s="40">
        <f>H471*I471</f>
        <v>0</v>
      </c>
      <c r="M471" s="69" t="s">
        <v>868</v>
      </c>
      <c r="Z471" s="40">
        <f>IF(AQ471="5",BJ471,0)</f>
        <v>0</v>
      </c>
      <c r="AB471" s="40">
        <f>IF(AQ471="1",BH471,0)</f>
        <v>0</v>
      </c>
      <c r="AC471" s="40">
        <f>IF(AQ471="1",BI471,0)</f>
        <v>0</v>
      </c>
      <c r="AD471" s="40">
        <f>IF(AQ471="7",BH471,0)</f>
        <v>0</v>
      </c>
      <c r="AE471" s="40">
        <f>IF(AQ471="7",BI471,0)</f>
        <v>0</v>
      </c>
      <c r="AF471" s="40">
        <f>IF(AQ471="2",BH471,0)</f>
        <v>0</v>
      </c>
      <c r="AG471" s="40">
        <f>IF(AQ471="2",BI471,0)</f>
        <v>0</v>
      </c>
      <c r="AH471" s="40">
        <f>IF(AQ471="0",BJ471,0)</f>
        <v>0</v>
      </c>
      <c r="AI471" s="11" t="s">
        <v>349</v>
      </c>
      <c r="AJ471" s="40">
        <f>IF(AN471=0,L471,0)</f>
        <v>0</v>
      </c>
      <c r="AK471" s="40">
        <f>IF(AN471=15,L471,0)</f>
        <v>0</v>
      </c>
      <c r="AL471" s="40">
        <f>IF(AN471=21,L471,0)</f>
        <v>0</v>
      </c>
      <c r="AN471" s="40">
        <v>21</v>
      </c>
      <c r="AO471" s="40">
        <f>I471*0.0239934833772411</f>
        <v>0</v>
      </c>
      <c r="AP471" s="40">
        <f>I471*(1-0.0239934833772411)</f>
        <v>0</v>
      </c>
      <c r="AQ471" s="17" t="s">
        <v>1260</v>
      </c>
      <c r="AV471" s="40">
        <f>AW471+AX471</f>
        <v>0</v>
      </c>
      <c r="AW471" s="40">
        <f>H471*AO471</f>
        <v>0</v>
      </c>
      <c r="AX471" s="40">
        <f>H471*AP471</f>
        <v>0</v>
      </c>
      <c r="AY471" s="17" t="s">
        <v>106</v>
      </c>
      <c r="AZ471" s="17" t="s">
        <v>694</v>
      </c>
      <c r="BA471" s="11" t="s">
        <v>319</v>
      </c>
      <c r="BC471" s="40">
        <f>AW471+AX471</f>
        <v>0</v>
      </c>
      <c r="BD471" s="40">
        <f>I471/(100-BE471)*100</f>
        <v>0</v>
      </c>
      <c r="BE471" s="40">
        <v>0</v>
      </c>
      <c r="BF471" s="40">
        <f>471</f>
        <v>471</v>
      </c>
      <c r="BH471" s="40">
        <f>H471*AO471</f>
        <v>0</v>
      </c>
      <c r="BI471" s="40">
        <f>H471*AP471</f>
        <v>0</v>
      </c>
      <c r="BJ471" s="40">
        <f>H471*I471</f>
        <v>0</v>
      </c>
      <c r="BK471" s="40"/>
      <c r="BL471" s="40">
        <v>89</v>
      </c>
    </row>
    <row r="472" spans="1:64" ht="15" customHeight="1">
      <c r="A472" s="19" t="s">
        <v>724</v>
      </c>
      <c r="B472" s="59" t="s">
        <v>905</v>
      </c>
      <c r="C472" s="76" t="s">
        <v>599</v>
      </c>
      <c r="D472" s="76"/>
      <c r="E472" s="76"/>
      <c r="F472" s="76"/>
      <c r="G472" s="59" t="s">
        <v>1041</v>
      </c>
      <c r="H472" s="40">
        <v>295.3</v>
      </c>
      <c r="I472" s="40">
        <v>0</v>
      </c>
      <c r="J472" s="40">
        <f>H472*AO472</f>
        <v>0</v>
      </c>
      <c r="K472" s="40">
        <f>H472*AP472</f>
        <v>0</v>
      </c>
      <c r="L472" s="40">
        <f>H472*I472</f>
        <v>0</v>
      </c>
      <c r="M472" s="69" t="s">
        <v>868</v>
      </c>
      <c r="Z472" s="40">
        <f>IF(AQ472="5",BJ472,0)</f>
        <v>0</v>
      </c>
      <c r="AB472" s="40">
        <f>IF(AQ472="1",BH472,0)</f>
        <v>0</v>
      </c>
      <c r="AC472" s="40">
        <f>IF(AQ472="1",BI472,0)</f>
        <v>0</v>
      </c>
      <c r="AD472" s="40">
        <f>IF(AQ472="7",BH472,0)</f>
        <v>0</v>
      </c>
      <c r="AE472" s="40">
        <f>IF(AQ472="7",BI472,0)</f>
        <v>0</v>
      </c>
      <c r="AF472" s="40">
        <f>IF(AQ472="2",BH472,0)</f>
        <v>0</v>
      </c>
      <c r="AG472" s="40">
        <f>IF(AQ472="2",BI472,0)</f>
        <v>0</v>
      </c>
      <c r="AH472" s="40">
        <f>IF(AQ472="0",BJ472,0)</f>
        <v>0</v>
      </c>
      <c r="AI472" s="11" t="s">
        <v>349</v>
      </c>
      <c r="AJ472" s="40">
        <f>IF(AN472=0,L472,0)</f>
        <v>0</v>
      </c>
      <c r="AK472" s="40">
        <f>IF(AN472=15,L472,0)</f>
        <v>0</v>
      </c>
      <c r="AL472" s="40">
        <f>IF(AN472=21,L472,0)</f>
        <v>0</v>
      </c>
      <c r="AN472" s="40">
        <v>21</v>
      </c>
      <c r="AO472" s="40">
        <f>I472*0.00565651633812185</f>
        <v>0</v>
      </c>
      <c r="AP472" s="40">
        <f>I472*(1-0.00565651633812185)</f>
        <v>0</v>
      </c>
      <c r="AQ472" s="17" t="s">
        <v>1260</v>
      </c>
      <c r="AV472" s="40">
        <f>AW472+AX472</f>
        <v>0</v>
      </c>
      <c r="AW472" s="40">
        <f>H472*AO472</f>
        <v>0</v>
      </c>
      <c r="AX472" s="40">
        <f>H472*AP472</f>
        <v>0</v>
      </c>
      <c r="AY472" s="17" t="s">
        <v>106</v>
      </c>
      <c r="AZ472" s="17" t="s">
        <v>694</v>
      </c>
      <c r="BA472" s="11" t="s">
        <v>319</v>
      </c>
      <c r="BC472" s="40">
        <f>AW472+AX472</f>
        <v>0</v>
      </c>
      <c r="BD472" s="40">
        <f>I472/(100-BE472)*100</f>
        <v>0</v>
      </c>
      <c r="BE472" s="40">
        <v>0</v>
      </c>
      <c r="BF472" s="40">
        <f>472</f>
        <v>472</v>
      </c>
      <c r="BH472" s="40">
        <f>H472*AO472</f>
        <v>0</v>
      </c>
      <c r="BI472" s="40">
        <f>H472*AP472</f>
        <v>0</v>
      </c>
      <c r="BJ472" s="40">
        <f>H472*I472</f>
        <v>0</v>
      </c>
      <c r="BK472" s="40"/>
      <c r="BL472" s="40">
        <v>89</v>
      </c>
    </row>
    <row r="473" spans="1:64" ht="15" customHeight="1">
      <c r="A473" s="19" t="s">
        <v>1343</v>
      </c>
      <c r="B473" s="59" t="s">
        <v>1095</v>
      </c>
      <c r="C473" s="76" t="s">
        <v>862</v>
      </c>
      <c r="D473" s="76"/>
      <c r="E473" s="76"/>
      <c r="F473" s="76"/>
      <c r="G473" s="59" t="s">
        <v>565</v>
      </c>
      <c r="H473" s="40">
        <v>191.70067</v>
      </c>
      <c r="I473" s="40">
        <v>0</v>
      </c>
      <c r="J473" s="40">
        <f>H473*AO473</f>
        <v>0</v>
      </c>
      <c r="K473" s="40">
        <f>H473*AP473</f>
        <v>0</v>
      </c>
      <c r="L473" s="40">
        <f>H473*I473</f>
        <v>0</v>
      </c>
      <c r="M473" s="69" t="s">
        <v>868</v>
      </c>
      <c r="Z473" s="40">
        <f>IF(AQ473="5",BJ473,0)</f>
        <v>0</v>
      </c>
      <c r="AB473" s="40">
        <f>IF(AQ473="1",BH473,0)</f>
        <v>0</v>
      </c>
      <c r="AC473" s="40">
        <f>IF(AQ473="1",BI473,0)</f>
        <v>0</v>
      </c>
      <c r="AD473" s="40">
        <f>IF(AQ473="7",BH473,0)</f>
        <v>0</v>
      </c>
      <c r="AE473" s="40">
        <f>IF(AQ473="7",BI473,0)</f>
        <v>0</v>
      </c>
      <c r="AF473" s="40">
        <f>IF(AQ473="2",BH473,0)</f>
        <v>0</v>
      </c>
      <c r="AG473" s="40">
        <f>IF(AQ473="2",BI473,0)</f>
        <v>0</v>
      </c>
      <c r="AH473" s="40">
        <f>IF(AQ473="0",BJ473,0)</f>
        <v>0</v>
      </c>
      <c r="AI473" s="11" t="s">
        <v>349</v>
      </c>
      <c r="AJ473" s="40">
        <f>IF(AN473=0,L473,0)</f>
        <v>0</v>
      </c>
      <c r="AK473" s="40">
        <f>IF(AN473=15,L473,0)</f>
        <v>0</v>
      </c>
      <c r="AL473" s="40">
        <f>IF(AN473=21,L473,0)</f>
        <v>0</v>
      </c>
      <c r="AN473" s="40">
        <v>21</v>
      </c>
      <c r="AO473" s="40">
        <f>I473*0</f>
        <v>0</v>
      </c>
      <c r="AP473" s="40">
        <f>I473*(1-0)</f>
        <v>0</v>
      </c>
      <c r="AQ473" s="17" t="s">
        <v>668</v>
      </c>
      <c r="AV473" s="40">
        <f>AW473+AX473</f>
        <v>0</v>
      </c>
      <c r="AW473" s="40">
        <f>H473*AO473</f>
        <v>0</v>
      </c>
      <c r="AX473" s="40">
        <f>H473*AP473</f>
        <v>0</v>
      </c>
      <c r="AY473" s="17" t="s">
        <v>106</v>
      </c>
      <c r="AZ473" s="17" t="s">
        <v>694</v>
      </c>
      <c r="BA473" s="11" t="s">
        <v>319</v>
      </c>
      <c r="BC473" s="40">
        <f>AW473+AX473</f>
        <v>0</v>
      </c>
      <c r="BD473" s="40">
        <f>I473/(100-BE473)*100</f>
        <v>0</v>
      </c>
      <c r="BE473" s="40">
        <v>0</v>
      </c>
      <c r="BF473" s="40">
        <f>473</f>
        <v>473</v>
      </c>
      <c r="BH473" s="40">
        <f>H473*AO473</f>
        <v>0</v>
      </c>
      <c r="BI473" s="40">
        <f>H473*AP473</f>
        <v>0</v>
      </c>
      <c r="BJ473" s="40">
        <f>H473*I473</f>
        <v>0</v>
      </c>
      <c r="BK473" s="40"/>
      <c r="BL473" s="40">
        <v>89</v>
      </c>
    </row>
    <row r="474" spans="1:13" ht="15" customHeight="1">
      <c r="A474" s="24" t="s">
        <v>878</v>
      </c>
      <c r="B474" s="66" t="s">
        <v>878</v>
      </c>
      <c r="C474" s="92" t="s">
        <v>1442</v>
      </c>
      <c r="D474" s="92"/>
      <c r="E474" s="92"/>
      <c r="F474" s="92"/>
      <c r="G474" s="3" t="s">
        <v>1172</v>
      </c>
      <c r="H474" s="3" t="s">
        <v>1172</v>
      </c>
      <c r="I474" s="3" t="s">
        <v>1172</v>
      </c>
      <c r="J474" s="63">
        <f>J475+J477+J479+J515+J518+J520+J523+J525+J528</f>
        <v>0</v>
      </c>
      <c r="K474" s="63">
        <f>K475+K477+K479+K515+K518+K520+K523+K525+K528</f>
        <v>0</v>
      </c>
      <c r="L474" s="63">
        <f>L475+L477+L479+L515+L518+L520+L523+L525+L528</f>
        <v>0</v>
      </c>
      <c r="M474" s="4" t="s">
        <v>878</v>
      </c>
    </row>
    <row r="475" spans="1:47" ht="15" customHeight="1">
      <c r="A475" s="24" t="s">
        <v>878</v>
      </c>
      <c r="B475" s="66" t="s">
        <v>1054</v>
      </c>
      <c r="C475" s="92" t="s">
        <v>690</v>
      </c>
      <c r="D475" s="92"/>
      <c r="E475" s="92"/>
      <c r="F475" s="92"/>
      <c r="G475" s="3" t="s">
        <v>1172</v>
      </c>
      <c r="H475" s="3" t="s">
        <v>1172</v>
      </c>
      <c r="I475" s="3" t="s">
        <v>1172</v>
      </c>
      <c r="J475" s="63">
        <f>SUM(J476:J476)</f>
        <v>0</v>
      </c>
      <c r="K475" s="63">
        <f>SUM(K476:K476)</f>
        <v>0</v>
      </c>
      <c r="L475" s="63">
        <f>SUM(L476:L476)</f>
        <v>0</v>
      </c>
      <c r="M475" s="4" t="s">
        <v>878</v>
      </c>
      <c r="AI475" s="11" t="s">
        <v>643</v>
      </c>
      <c r="AS475" s="63">
        <f>SUM(AJ476:AJ476)</f>
        <v>0</v>
      </c>
      <c r="AT475" s="63">
        <f>SUM(AK476:AK476)</f>
        <v>0</v>
      </c>
      <c r="AU475" s="63">
        <f>SUM(AL476:AL476)</f>
        <v>0</v>
      </c>
    </row>
    <row r="476" spans="1:64" ht="15" customHeight="1">
      <c r="A476" s="19" t="s">
        <v>567</v>
      </c>
      <c r="B476" s="59" t="s">
        <v>1293</v>
      </c>
      <c r="C476" s="76" t="s">
        <v>1064</v>
      </c>
      <c r="D476" s="76"/>
      <c r="E476" s="76"/>
      <c r="F476" s="76"/>
      <c r="G476" s="59" t="s">
        <v>1243</v>
      </c>
      <c r="H476" s="40">
        <v>50</v>
      </c>
      <c r="I476" s="40">
        <v>0</v>
      </c>
      <c r="J476" s="40">
        <f>H476*AO476</f>
        <v>0</v>
      </c>
      <c r="K476" s="40">
        <f>H476*AP476</f>
        <v>0</v>
      </c>
      <c r="L476" s="40">
        <f>H476*I476</f>
        <v>0</v>
      </c>
      <c r="M476" s="69" t="s">
        <v>868</v>
      </c>
      <c r="Z476" s="40">
        <f>IF(AQ476="5",BJ476,0)</f>
        <v>0</v>
      </c>
      <c r="AB476" s="40">
        <f>IF(AQ476="1",BH476,0)</f>
        <v>0</v>
      </c>
      <c r="AC476" s="40">
        <f>IF(AQ476="1",BI476,0)</f>
        <v>0</v>
      </c>
      <c r="AD476" s="40">
        <f>IF(AQ476="7",BH476,0)</f>
        <v>0</v>
      </c>
      <c r="AE476" s="40">
        <f>IF(AQ476="7",BI476,0)</f>
        <v>0</v>
      </c>
      <c r="AF476" s="40">
        <f>IF(AQ476="2",BH476,0)</f>
        <v>0</v>
      </c>
      <c r="AG476" s="40">
        <f>IF(AQ476="2",BI476,0)</f>
        <v>0</v>
      </c>
      <c r="AH476" s="40">
        <f>IF(AQ476="0",BJ476,0)</f>
        <v>0</v>
      </c>
      <c r="AI476" s="11" t="s">
        <v>643</v>
      </c>
      <c r="AJ476" s="40">
        <f>IF(AN476=0,L476,0)</f>
        <v>0</v>
      </c>
      <c r="AK476" s="40">
        <f>IF(AN476=15,L476,0)</f>
        <v>0</v>
      </c>
      <c r="AL476" s="40">
        <f>IF(AN476=21,L476,0)</f>
        <v>0</v>
      </c>
      <c r="AN476" s="40">
        <v>21</v>
      </c>
      <c r="AO476" s="40">
        <f>I476*0</f>
        <v>0</v>
      </c>
      <c r="AP476" s="40">
        <f>I476*(1-0)</f>
        <v>0</v>
      </c>
      <c r="AQ476" s="17" t="s">
        <v>1260</v>
      </c>
      <c r="AV476" s="40">
        <f>AW476+AX476</f>
        <v>0</v>
      </c>
      <c r="AW476" s="40">
        <f>H476*AO476</f>
        <v>0</v>
      </c>
      <c r="AX476" s="40">
        <f>H476*AP476</f>
        <v>0</v>
      </c>
      <c r="AY476" s="17" t="s">
        <v>144</v>
      </c>
      <c r="AZ476" s="17" t="s">
        <v>1421</v>
      </c>
      <c r="BA476" s="11" t="s">
        <v>445</v>
      </c>
      <c r="BC476" s="40">
        <f>AW476+AX476</f>
        <v>0</v>
      </c>
      <c r="BD476" s="40">
        <f>I476/(100-BE476)*100</f>
        <v>0</v>
      </c>
      <c r="BE476" s="40">
        <v>0</v>
      </c>
      <c r="BF476" s="40">
        <f>476</f>
        <v>476</v>
      </c>
      <c r="BH476" s="40">
        <f>H476*AO476</f>
        <v>0</v>
      </c>
      <c r="BI476" s="40">
        <f>H476*AP476</f>
        <v>0</v>
      </c>
      <c r="BJ476" s="40">
        <f>H476*I476</f>
        <v>0</v>
      </c>
      <c r="BK476" s="40"/>
      <c r="BL476" s="40">
        <v>11</v>
      </c>
    </row>
    <row r="477" spans="1:47" ht="15" customHeight="1">
      <c r="A477" s="24" t="s">
        <v>878</v>
      </c>
      <c r="B477" s="66" t="s">
        <v>368</v>
      </c>
      <c r="C477" s="92" t="s">
        <v>13</v>
      </c>
      <c r="D477" s="92"/>
      <c r="E477" s="92"/>
      <c r="F477" s="92"/>
      <c r="G477" s="3" t="s">
        <v>1172</v>
      </c>
      <c r="H477" s="3" t="s">
        <v>1172</v>
      </c>
      <c r="I477" s="3" t="s">
        <v>1172</v>
      </c>
      <c r="J477" s="63">
        <f>SUM(J478:J478)</f>
        <v>0</v>
      </c>
      <c r="K477" s="63">
        <f>SUM(K478:K478)</f>
        <v>0</v>
      </c>
      <c r="L477" s="63">
        <f>SUM(L478:L478)</f>
        <v>0</v>
      </c>
      <c r="M477" s="4" t="s">
        <v>878</v>
      </c>
      <c r="AI477" s="11" t="s">
        <v>643</v>
      </c>
      <c r="AS477" s="63">
        <f>SUM(AJ478:AJ478)</f>
        <v>0</v>
      </c>
      <c r="AT477" s="63">
        <f>SUM(AK478:AK478)</f>
        <v>0</v>
      </c>
      <c r="AU477" s="63">
        <f>SUM(AL478:AL478)</f>
        <v>0</v>
      </c>
    </row>
    <row r="478" spans="1:64" ht="15" customHeight="1">
      <c r="A478" s="19" t="s">
        <v>450</v>
      </c>
      <c r="B478" s="59" t="s">
        <v>299</v>
      </c>
      <c r="C478" s="76" t="s">
        <v>136</v>
      </c>
      <c r="D478" s="76"/>
      <c r="E478" s="76"/>
      <c r="F478" s="76"/>
      <c r="G478" s="59" t="s">
        <v>1220</v>
      </c>
      <c r="H478" s="40">
        <v>8.2</v>
      </c>
      <c r="I478" s="40">
        <v>0</v>
      </c>
      <c r="J478" s="40">
        <f>H478*AO478</f>
        <v>0</v>
      </c>
      <c r="K478" s="40">
        <f>H478*AP478</f>
        <v>0</v>
      </c>
      <c r="L478" s="40">
        <f>H478*I478</f>
        <v>0</v>
      </c>
      <c r="M478" s="69" t="s">
        <v>868</v>
      </c>
      <c r="Z478" s="40">
        <f>IF(AQ478="5",BJ478,0)</f>
        <v>0</v>
      </c>
      <c r="AB478" s="40">
        <f>IF(AQ478="1",BH478,0)</f>
        <v>0</v>
      </c>
      <c r="AC478" s="40">
        <f>IF(AQ478="1",BI478,0)</f>
        <v>0</v>
      </c>
      <c r="AD478" s="40">
        <f>IF(AQ478="7",BH478,0)</f>
        <v>0</v>
      </c>
      <c r="AE478" s="40">
        <f>IF(AQ478="7",BI478,0)</f>
        <v>0</v>
      </c>
      <c r="AF478" s="40">
        <f>IF(AQ478="2",BH478,0)</f>
        <v>0</v>
      </c>
      <c r="AG478" s="40">
        <f>IF(AQ478="2",BI478,0)</f>
        <v>0</v>
      </c>
      <c r="AH478" s="40">
        <f>IF(AQ478="0",BJ478,0)</f>
        <v>0</v>
      </c>
      <c r="AI478" s="11" t="s">
        <v>643</v>
      </c>
      <c r="AJ478" s="40">
        <f>IF(AN478=0,L478,0)</f>
        <v>0</v>
      </c>
      <c r="AK478" s="40">
        <f>IF(AN478=15,L478,0)</f>
        <v>0</v>
      </c>
      <c r="AL478" s="40">
        <f>IF(AN478=21,L478,0)</f>
        <v>0</v>
      </c>
      <c r="AN478" s="40">
        <v>21</v>
      </c>
      <c r="AO478" s="40">
        <f>I478*0</f>
        <v>0</v>
      </c>
      <c r="AP478" s="40">
        <f>I478*(1-0)</f>
        <v>0</v>
      </c>
      <c r="AQ478" s="17" t="s">
        <v>1260</v>
      </c>
      <c r="AV478" s="40">
        <f>AW478+AX478</f>
        <v>0</v>
      </c>
      <c r="AW478" s="40">
        <f>H478*AO478</f>
        <v>0</v>
      </c>
      <c r="AX478" s="40">
        <f>H478*AP478</f>
        <v>0</v>
      </c>
      <c r="AY478" s="17" t="s">
        <v>1141</v>
      </c>
      <c r="AZ478" s="17" t="s">
        <v>1421</v>
      </c>
      <c r="BA478" s="11" t="s">
        <v>445</v>
      </c>
      <c r="BC478" s="40">
        <f>AW478+AX478</f>
        <v>0</v>
      </c>
      <c r="BD478" s="40">
        <f>I478/(100-BE478)*100</f>
        <v>0</v>
      </c>
      <c r="BE478" s="40">
        <v>0</v>
      </c>
      <c r="BF478" s="40">
        <f>478</f>
        <v>478</v>
      </c>
      <c r="BH478" s="40">
        <f>H478*AO478</f>
        <v>0</v>
      </c>
      <c r="BI478" s="40">
        <f>H478*AP478</f>
        <v>0</v>
      </c>
      <c r="BJ478" s="40">
        <f>H478*I478</f>
        <v>0</v>
      </c>
      <c r="BK478" s="40"/>
      <c r="BL478" s="40">
        <v>13</v>
      </c>
    </row>
    <row r="479" spans="1:47" ht="15" customHeight="1">
      <c r="A479" s="24" t="s">
        <v>878</v>
      </c>
      <c r="B479" s="66" t="s">
        <v>1015</v>
      </c>
      <c r="C479" s="92" t="s">
        <v>1278</v>
      </c>
      <c r="D479" s="92"/>
      <c r="E479" s="92"/>
      <c r="F479" s="92"/>
      <c r="G479" s="3" t="s">
        <v>1172</v>
      </c>
      <c r="H479" s="3" t="s">
        <v>1172</v>
      </c>
      <c r="I479" s="3" t="s">
        <v>1172</v>
      </c>
      <c r="J479" s="63">
        <f>SUM(J480:J513)</f>
        <v>0</v>
      </c>
      <c r="K479" s="63">
        <f>SUM(K480:K513)</f>
        <v>0</v>
      </c>
      <c r="L479" s="63">
        <f>SUM(L480:L513)</f>
        <v>0</v>
      </c>
      <c r="M479" s="4" t="s">
        <v>878</v>
      </c>
      <c r="AI479" s="11" t="s">
        <v>643</v>
      </c>
      <c r="AS479" s="63">
        <f>SUM(AJ480:AJ513)</f>
        <v>0</v>
      </c>
      <c r="AT479" s="63">
        <f>SUM(AK480:AK513)</f>
        <v>0</v>
      </c>
      <c r="AU479" s="63">
        <f>SUM(AL480:AL513)</f>
        <v>0</v>
      </c>
    </row>
    <row r="480" spans="1:64" ht="15" customHeight="1">
      <c r="A480" s="19" t="s">
        <v>127</v>
      </c>
      <c r="B480" s="59" t="s">
        <v>304</v>
      </c>
      <c r="C480" s="76" t="s">
        <v>1360</v>
      </c>
      <c r="D480" s="76"/>
      <c r="E480" s="76"/>
      <c r="F480" s="76"/>
      <c r="G480" s="59" t="s">
        <v>1243</v>
      </c>
      <c r="H480" s="40">
        <v>205</v>
      </c>
      <c r="I480" s="40">
        <v>0</v>
      </c>
      <c r="J480" s="40">
        <f aca="true" t="shared" si="342" ref="J480:J487">H480*AO480</f>
        <v>0</v>
      </c>
      <c r="K480" s="40">
        <f aca="true" t="shared" si="343" ref="K480:K487">H480*AP480</f>
        <v>0</v>
      </c>
      <c r="L480" s="40">
        <f aca="true" t="shared" si="344" ref="L480:L487">H480*I480</f>
        <v>0</v>
      </c>
      <c r="M480" s="69" t="s">
        <v>868</v>
      </c>
      <c r="Z480" s="40">
        <f aca="true" t="shared" si="345" ref="Z480:Z487">IF(AQ480="5",BJ480,0)</f>
        <v>0</v>
      </c>
      <c r="AB480" s="40">
        <f aca="true" t="shared" si="346" ref="AB480:AB487">IF(AQ480="1",BH480,0)</f>
        <v>0</v>
      </c>
      <c r="AC480" s="40">
        <f aca="true" t="shared" si="347" ref="AC480:AC487">IF(AQ480="1",BI480,0)</f>
        <v>0</v>
      </c>
      <c r="AD480" s="40">
        <f aca="true" t="shared" si="348" ref="AD480:AD487">IF(AQ480="7",BH480,0)</f>
        <v>0</v>
      </c>
      <c r="AE480" s="40">
        <f aca="true" t="shared" si="349" ref="AE480:AE487">IF(AQ480="7",BI480,0)</f>
        <v>0</v>
      </c>
      <c r="AF480" s="40">
        <f aca="true" t="shared" si="350" ref="AF480:AF487">IF(AQ480="2",BH480,0)</f>
        <v>0</v>
      </c>
      <c r="AG480" s="40">
        <f aca="true" t="shared" si="351" ref="AG480:AG487">IF(AQ480="2",BI480,0)</f>
        <v>0</v>
      </c>
      <c r="AH480" s="40">
        <f aca="true" t="shared" si="352" ref="AH480:AH487">IF(AQ480="0",BJ480,0)</f>
        <v>0</v>
      </c>
      <c r="AI480" s="11" t="s">
        <v>643</v>
      </c>
      <c r="AJ480" s="40">
        <f aca="true" t="shared" si="353" ref="AJ480:AJ487">IF(AN480=0,L480,0)</f>
        <v>0</v>
      </c>
      <c r="AK480" s="40">
        <f aca="true" t="shared" si="354" ref="AK480:AK487">IF(AN480=15,L480,0)</f>
        <v>0</v>
      </c>
      <c r="AL480" s="40">
        <f aca="true" t="shared" si="355" ref="AL480:AL487">IF(AN480=21,L480,0)</f>
        <v>0</v>
      </c>
      <c r="AN480" s="40">
        <v>21</v>
      </c>
      <c r="AO480" s="40">
        <f>I480*0</f>
        <v>0</v>
      </c>
      <c r="AP480" s="40">
        <f>I480*(1-0)</f>
        <v>0</v>
      </c>
      <c r="AQ480" s="17" t="s">
        <v>1260</v>
      </c>
      <c r="AV480" s="40">
        <f aca="true" t="shared" si="356" ref="AV480:AV487">AW480+AX480</f>
        <v>0</v>
      </c>
      <c r="AW480" s="40">
        <f aca="true" t="shared" si="357" ref="AW480:AW487">H480*AO480</f>
        <v>0</v>
      </c>
      <c r="AX480" s="40">
        <f aca="true" t="shared" si="358" ref="AX480:AX487">H480*AP480</f>
        <v>0</v>
      </c>
      <c r="AY480" s="17" t="s">
        <v>614</v>
      </c>
      <c r="AZ480" s="17" t="s">
        <v>1421</v>
      </c>
      <c r="BA480" s="11" t="s">
        <v>445</v>
      </c>
      <c r="BC480" s="40">
        <f aca="true" t="shared" si="359" ref="BC480:BC487">AW480+AX480</f>
        <v>0</v>
      </c>
      <c r="BD480" s="40">
        <f aca="true" t="shared" si="360" ref="BD480:BD487">I480/(100-BE480)*100</f>
        <v>0</v>
      </c>
      <c r="BE480" s="40">
        <v>0</v>
      </c>
      <c r="BF480" s="40">
        <f>480</f>
        <v>480</v>
      </c>
      <c r="BH480" s="40">
        <f aca="true" t="shared" si="361" ref="BH480:BH487">H480*AO480</f>
        <v>0</v>
      </c>
      <c r="BI480" s="40">
        <f aca="true" t="shared" si="362" ref="BI480:BI487">H480*AP480</f>
        <v>0</v>
      </c>
      <c r="BJ480" s="40">
        <f aca="true" t="shared" si="363" ref="BJ480:BJ487">H480*I480</f>
        <v>0</v>
      </c>
      <c r="BK480" s="40"/>
      <c r="BL480" s="40">
        <v>18</v>
      </c>
    </row>
    <row r="481" spans="1:64" ht="15" customHeight="1">
      <c r="A481" s="19" t="s">
        <v>372</v>
      </c>
      <c r="B481" s="59" t="s">
        <v>104</v>
      </c>
      <c r="C481" s="76" t="s">
        <v>1263</v>
      </c>
      <c r="D481" s="76"/>
      <c r="E481" s="76"/>
      <c r="F481" s="76"/>
      <c r="G481" s="59" t="s">
        <v>1220</v>
      </c>
      <c r="H481" s="40">
        <v>26.91</v>
      </c>
      <c r="I481" s="40">
        <v>0</v>
      </c>
      <c r="J481" s="40">
        <f t="shared" si="342"/>
        <v>0</v>
      </c>
      <c r="K481" s="40">
        <f t="shared" si="343"/>
        <v>0</v>
      </c>
      <c r="L481" s="40">
        <f t="shared" si="344"/>
        <v>0</v>
      </c>
      <c r="M481" s="69" t="s">
        <v>868</v>
      </c>
      <c r="Z481" s="40">
        <f t="shared" si="345"/>
        <v>0</v>
      </c>
      <c r="AB481" s="40">
        <f t="shared" si="346"/>
        <v>0</v>
      </c>
      <c r="AC481" s="40">
        <f t="shared" si="347"/>
        <v>0</v>
      </c>
      <c r="AD481" s="40">
        <f t="shared" si="348"/>
        <v>0</v>
      </c>
      <c r="AE481" s="40">
        <f t="shared" si="349"/>
        <v>0</v>
      </c>
      <c r="AF481" s="40">
        <f t="shared" si="350"/>
        <v>0</v>
      </c>
      <c r="AG481" s="40">
        <f t="shared" si="351"/>
        <v>0</v>
      </c>
      <c r="AH481" s="40">
        <f t="shared" si="352"/>
        <v>0</v>
      </c>
      <c r="AI481" s="11" t="s">
        <v>643</v>
      </c>
      <c r="AJ481" s="40">
        <f t="shared" si="353"/>
        <v>0</v>
      </c>
      <c r="AK481" s="40">
        <f t="shared" si="354"/>
        <v>0</v>
      </c>
      <c r="AL481" s="40">
        <f t="shared" si="355"/>
        <v>0</v>
      </c>
      <c r="AN481" s="40">
        <v>21</v>
      </c>
      <c r="AO481" s="40">
        <f>I481*1</f>
        <v>0</v>
      </c>
      <c r="AP481" s="40">
        <f>I481*(1-1)</f>
        <v>0</v>
      </c>
      <c r="AQ481" s="17" t="s">
        <v>1260</v>
      </c>
      <c r="AV481" s="40">
        <f t="shared" si="356"/>
        <v>0</v>
      </c>
      <c r="AW481" s="40">
        <f t="shared" si="357"/>
        <v>0</v>
      </c>
      <c r="AX481" s="40">
        <f t="shared" si="358"/>
        <v>0</v>
      </c>
      <c r="AY481" s="17" t="s">
        <v>614</v>
      </c>
      <c r="AZ481" s="17" t="s">
        <v>1421</v>
      </c>
      <c r="BA481" s="11" t="s">
        <v>445</v>
      </c>
      <c r="BC481" s="40">
        <f t="shared" si="359"/>
        <v>0</v>
      </c>
      <c r="BD481" s="40">
        <f t="shared" si="360"/>
        <v>0</v>
      </c>
      <c r="BE481" s="40">
        <v>0</v>
      </c>
      <c r="BF481" s="40">
        <f>481</f>
        <v>481</v>
      </c>
      <c r="BH481" s="40">
        <f t="shared" si="361"/>
        <v>0</v>
      </c>
      <c r="BI481" s="40">
        <f t="shared" si="362"/>
        <v>0</v>
      </c>
      <c r="BJ481" s="40">
        <f t="shared" si="363"/>
        <v>0</v>
      </c>
      <c r="BK481" s="40"/>
      <c r="BL481" s="40">
        <v>18</v>
      </c>
    </row>
    <row r="482" spans="1:64" ht="15" customHeight="1">
      <c r="A482" s="19" t="s">
        <v>546</v>
      </c>
      <c r="B482" s="59" t="s">
        <v>463</v>
      </c>
      <c r="C482" s="76" t="s">
        <v>647</v>
      </c>
      <c r="D482" s="76"/>
      <c r="E482" s="76"/>
      <c r="F482" s="76"/>
      <c r="G482" s="59" t="s">
        <v>1243</v>
      </c>
      <c r="H482" s="40">
        <v>205</v>
      </c>
      <c r="I482" s="40">
        <v>0</v>
      </c>
      <c r="J482" s="40">
        <f t="shared" si="342"/>
        <v>0</v>
      </c>
      <c r="K482" s="40">
        <f t="shared" si="343"/>
        <v>0</v>
      </c>
      <c r="L482" s="40">
        <f t="shared" si="344"/>
        <v>0</v>
      </c>
      <c r="M482" s="69" t="s">
        <v>868</v>
      </c>
      <c r="Z482" s="40">
        <f t="shared" si="345"/>
        <v>0</v>
      </c>
      <c r="AB482" s="40">
        <f t="shared" si="346"/>
        <v>0</v>
      </c>
      <c r="AC482" s="40">
        <f t="shared" si="347"/>
        <v>0</v>
      </c>
      <c r="AD482" s="40">
        <f t="shared" si="348"/>
        <v>0</v>
      </c>
      <c r="AE482" s="40">
        <f t="shared" si="349"/>
        <v>0</v>
      </c>
      <c r="AF482" s="40">
        <f t="shared" si="350"/>
        <v>0</v>
      </c>
      <c r="AG482" s="40">
        <f t="shared" si="351"/>
        <v>0</v>
      </c>
      <c r="AH482" s="40">
        <f t="shared" si="352"/>
        <v>0</v>
      </c>
      <c r="AI482" s="11" t="s">
        <v>643</v>
      </c>
      <c r="AJ482" s="40">
        <f t="shared" si="353"/>
        <v>0</v>
      </c>
      <c r="AK482" s="40">
        <f t="shared" si="354"/>
        <v>0</v>
      </c>
      <c r="AL482" s="40">
        <f t="shared" si="355"/>
        <v>0</v>
      </c>
      <c r="AN482" s="40">
        <v>21</v>
      </c>
      <c r="AO482" s="40">
        <f>I482*0.0401709401709402</f>
        <v>0</v>
      </c>
      <c r="AP482" s="40">
        <f>I482*(1-0.0401709401709402)</f>
        <v>0</v>
      </c>
      <c r="AQ482" s="17" t="s">
        <v>1260</v>
      </c>
      <c r="AV482" s="40">
        <f t="shared" si="356"/>
        <v>0</v>
      </c>
      <c r="AW482" s="40">
        <f t="shared" si="357"/>
        <v>0</v>
      </c>
      <c r="AX482" s="40">
        <f t="shared" si="358"/>
        <v>0</v>
      </c>
      <c r="AY482" s="17" t="s">
        <v>614</v>
      </c>
      <c r="AZ482" s="17" t="s">
        <v>1421</v>
      </c>
      <c r="BA482" s="11" t="s">
        <v>445</v>
      </c>
      <c r="BC482" s="40">
        <f t="shared" si="359"/>
        <v>0</v>
      </c>
      <c r="BD482" s="40">
        <f t="shared" si="360"/>
        <v>0</v>
      </c>
      <c r="BE482" s="40">
        <v>0</v>
      </c>
      <c r="BF482" s="40">
        <f>482</f>
        <v>482</v>
      </c>
      <c r="BH482" s="40">
        <f t="shared" si="361"/>
        <v>0</v>
      </c>
      <c r="BI482" s="40">
        <f t="shared" si="362"/>
        <v>0</v>
      </c>
      <c r="BJ482" s="40">
        <f t="shared" si="363"/>
        <v>0</v>
      </c>
      <c r="BK482" s="40"/>
      <c r="BL482" s="40">
        <v>18</v>
      </c>
    </row>
    <row r="483" spans="1:64" ht="15" customHeight="1">
      <c r="A483" s="19" t="s">
        <v>3</v>
      </c>
      <c r="B483" s="59" t="s">
        <v>1379</v>
      </c>
      <c r="C483" s="76" t="s">
        <v>1024</v>
      </c>
      <c r="D483" s="76"/>
      <c r="E483" s="76"/>
      <c r="F483" s="76"/>
      <c r="G483" s="59" t="s">
        <v>1197</v>
      </c>
      <c r="H483" s="40">
        <v>5</v>
      </c>
      <c r="I483" s="40">
        <v>0</v>
      </c>
      <c r="J483" s="40">
        <f t="shared" si="342"/>
        <v>0</v>
      </c>
      <c r="K483" s="40">
        <f t="shared" si="343"/>
        <v>0</v>
      </c>
      <c r="L483" s="40">
        <f t="shared" si="344"/>
        <v>0</v>
      </c>
      <c r="M483" s="69" t="s">
        <v>868</v>
      </c>
      <c r="Z483" s="40">
        <f t="shared" si="345"/>
        <v>0</v>
      </c>
      <c r="AB483" s="40">
        <f t="shared" si="346"/>
        <v>0</v>
      </c>
      <c r="AC483" s="40">
        <f t="shared" si="347"/>
        <v>0</v>
      </c>
      <c r="AD483" s="40">
        <f t="shared" si="348"/>
        <v>0</v>
      </c>
      <c r="AE483" s="40">
        <f t="shared" si="349"/>
        <v>0</v>
      </c>
      <c r="AF483" s="40">
        <f t="shared" si="350"/>
        <v>0</v>
      </c>
      <c r="AG483" s="40">
        <f t="shared" si="351"/>
        <v>0</v>
      </c>
      <c r="AH483" s="40">
        <f t="shared" si="352"/>
        <v>0</v>
      </c>
      <c r="AI483" s="11" t="s">
        <v>643</v>
      </c>
      <c r="AJ483" s="40">
        <f t="shared" si="353"/>
        <v>0</v>
      </c>
      <c r="AK483" s="40">
        <f t="shared" si="354"/>
        <v>0</v>
      </c>
      <c r="AL483" s="40">
        <f t="shared" si="355"/>
        <v>0</v>
      </c>
      <c r="AN483" s="40">
        <v>21</v>
      </c>
      <c r="AO483" s="40">
        <f>I483*1</f>
        <v>0</v>
      </c>
      <c r="AP483" s="40">
        <f>I483*(1-1)</f>
        <v>0</v>
      </c>
      <c r="AQ483" s="17" t="s">
        <v>1260</v>
      </c>
      <c r="AV483" s="40">
        <f t="shared" si="356"/>
        <v>0</v>
      </c>
      <c r="AW483" s="40">
        <f t="shared" si="357"/>
        <v>0</v>
      </c>
      <c r="AX483" s="40">
        <f t="shared" si="358"/>
        <v>0</v>
      </c>
      <c r="AY483" s="17" t="s">
        <v>614</v>
      </c>
      <c r="AZ483" s="17" t="s">
        <v>1421</v>
      </c>
      <c r="BA483" s="11" t="s">
        <v>445</v>
      </c>
      <c r="BC483" s="40">
        <f t="shared" si="359"/>
        <v>0</v>
      </c>
      <c r="BD483" s="40">
        <f t="shared" si="360"/>
        <v>0</v>
      </c>
      <c r="BE483" s="40">
        <v>0</v>
      </c>
      <c r="BF483" s="40">
        <f>483</f>
        <v>483</v>
      </c>
      <c r="BH483" s="40">
        <f t="shared" si="361"/>
        <v>0</v>
      </c>
      <c r="BI483" s="40">
        <f t="shared" si="362"/>
        <v>0</v>
      </c>
      <c r="BJ483" s="40">
        <f t="shared" si="363"/>
        <v>0</v>
      </c>
      <c r="BK483" s="40"/>
      <c r="BL483" s="40">
        <v>18</v>
      </c>
    </row>
    <row r="484" spans="1:64" ht="15" customHeight="1">
      <c r="A484" s="19" t="s">
        <v>59</v>
      </c>
      <c r="B484" s="59" t="s">
        <v>682</v>
      </c>
      <c r="C484" s="76" t="s">
        <v>300</v>
      </c>
      <c r="D484" s="76"/>
      <c r="E484" s="76"/>
      <c r="F484" s="76"/>
      <c r="G484" s="59" t="s">
        <v>312</v>
      </c>
      <c r="H484" s="40">
        <v>10</v>
      </c>
      <c r="I484" s="40">
        <v>0</v>
      </c>
      <c r="J484" s="40">
        <f t="shared" si="342"/>
        <v>0</v>
      </c>
      <c r="K484" s="40">
        <f t="shared" si="343"/>
        <v>0</v>
      </c>
      <c r="L484" s="40">
        <f t="shared" si="344"/>
        <v>0</v>
      </c>
      <c r="M484" s="69" t="s">
        <v>868</v>
      </c>
      <c r="Z484" s="40">
        <f t="shared" si="345"/>
        <v>0</v>
      </c>
      <c r="AB484" s="40">
        <f t="shared" si="346"/>
        <v>0</v>
      </c>
      <c r="AC484" s="40">
        <f t="shared" si="347"/>
        <v>0</v>
      </c>
      <c r="AD484" s="40">
        <f t="shared" si="348"/>
        <v>0</v>
      </c>
      <c r="AE484" s="40">
        <f t="shared" si="349"/>
        <v>0</v>
      </c>
      <c r="AF484" s="40">
        <f t="shared" si="350"/>
        <v>0</v>
      </c>
      <c r="AG484" s="40">
        <f t="shared" si="351"/>
        <v>0</v>
      </c>
      <c r="AH484" s="40">
        <f t="shared" si="352"/>
        <v>0</v>
      </c>
      <c r="AI484" s="11" t="s">
        <v>643</v>
      </c>
      <c r="AJ484" s="40">
        <f t="shared" si="353"/>
        <v>0</v>
      </c>
      <c r="AK484" s="40">
        <f t="shared" si="354"/>
        <v>0</v>
      </c>
      <c r="AL484" s="40">
        <f t="shared" si="355"/>
        <v>0</v>
      </c>
      <c r="AN484" s="40">
        <v>21</v>
      </c>
      <c r="AO484" s="40">
        <f>I484*0</f>
        <v>0</v>
      </c>
      <c r="AP484" s="40">
        <f>I484*(1-0)</f>
        <v>0</v>
      </c>
      <c r="AQ484" s="17" t="s">
        <v>1260</v>
      </c>
      <c r="AV484" s="40">
        <f t="shared" si="356"/>
        <v>0</v>
      </c>
      <c r="AW484" s="40">
        <f t="shared" si="357"/>
        <v>0</v>
      </c>
      <c r="AX484" s="40">
        <f t="shared" si="358"/>
        <v>0</v>
      </c>
      <c r="AY484" s="17" t="s">
        <v>614</v>
      </c>
      <c r="AZ484" s="17" t="s">
        <v>1421</v>
      </c>
      <c r="BA484" s="11" t="s">
        <v>445</v>
      </c>
      <c r="BC484" s="40">
        <f t="shared" si="359"/>
        <v>0</v>
      </c>
      <c r="BD484" s="40">
        <f t="shared" si="360"/>
        <v>0</v>
      </c>
      <c r="BE484" s="40">
        <v>0</v>
      </c>
      <c r="BF484" s="40">
        <f>484</f>
        <v>484</v>
      </c>
      <c r="BH484" s="40">
        <f t="shared" si="361"/>
        <v>0</v>
      </c>
      <c r="BI484" s="40">
        <f t="shared" si="362"/>
        <v>0</v>
      </c>
      <c r="BJ484" s="40">
        <f t="shared" si="363"/>
        <v>0</v>
      </c>
      <c r="BK484" s="40"/>
      <c r="BL484" s="40">
        <v>18</v>
      </c>
    </row>
    <row r="485" spans="1:64" ht="15" customHeight="1">
      <c r="A485" s="19" t="s">
        <v>907</v>
      </c>
      <c r="B485" s="59" t="s">
        <v>736</v>
      </c>
      <c r="C485" s="76" t="s">
        <v>899</v>
      </c>
      <c r="D485" s="76"/>
      <c r="E485" s="76"/>
      <c r="F485" s="76"/>
      <c r="G485" s="59" t="s">
        <v>1243</v>
      </c>
      <c r="H485" s="40">
        <v>205</v>
      </c>
      <c r="I485" s="40">
        <v>0</v>
      </c>
      <c r="J485" s="40">
        <f t="shared" si="342"/>
        <v>0</v>
      </c>
      <c r="K485" s="40">
        <f t="shared" si="343"/>
        <v>0</v>
      </c>
      <c r="L485" s="40">
        <f t="shared" si="344"/>
        <v>0</v>
      </c>
      <c r="M485" s="69" t="s">
        <v>868</v>
      </c>
      <c r="Z485" s="40">
        <f t="shared" si="345"/>
        <v>0</v>
      </c>
      <c r="AB485" s="40">
        <f t="shared" si="346"/>
        <v>0</v>
      </c>
      <c r="AC485" s="40">
        <f t="shared" si="347"/>
        <v>0</v>
      </c>
      <c r="AD485" s="40">
        <f t="shared" si="348"/>
        <v>0</v>
      </c>
      <c r="AE485" s="40">
        <f t="shared" si="349"/>
        <v>0</v>
      </c>
      <c r="AF485" s="40">
        <f t="shared" si="350"/>
        <v>0</v>
      </c>
      <c r="AG485" s="40">
        <f t="shared" si="351"/>
        <v>0</v>
      </c>
      <c r="AH485" s="40">
        <f t="shared" si="352"/>
        <v>0</v>
      </c>
      <c r="AI485" s="11" t="s">
        <v>643</v>
      </c>
      <c r="AJ485" s="40">
        <f t="shared" si="353"/>
        <v>0</v>
      </c>
      <c r="AK485" s="40">
        <f t="shared" si="354"/>
        <v>0</v>
      </c>
      <c r="AL485" s="40">
        <f t="shared" si="355"/>
        <v>0</v>
      </c>
      <c r="AN485" s="40">
        <v>21</v>
      </c>
      <c r="AO485" s="40">
        <f>I485*0</f>
        <v>0</v>
      </c>
      <c r="AP485" s="40">
        <f>I485*(1-0)</f>
        <v>0</v>
      </c>
      <c r="AQ485" s="17" t="s">
        <v>1260</v>
      </c>
      <c r="AV485" s="40">
        <f t="shared" si="356"/>
        <v>0</v>
      </c>
      <c r="AW485" s="40">
        <f t="shared" si="357"/>
        <v>0</v>
      </c>
      <c r="AX485" s="40">
        <f t="shared" si="358"/>
        <v>0</v>
      </c>
      <c r="AY485" s="17" t="s">
        <v>614</v>
      </c>
      <c r="AZ485" s="17" t="s">
        <v>1421</v>
      </c>
      <c r="BA485" s="11" t="s">
        <v>445</v>
      </c>
      <c r="BC485" s="40">
        <f t="shared" si="359"/>
        <v>0</v>
      </c>
      <c r="BD485" s="40">
        <f t="shared" si="360"/>
        <v>0</v>
      </c>
      <c r="BE485" s="40">
        <v>0</v>
      </c>
      <c r="BF485" s="40">
        <f>485</f>
        <v>485</v>
      </c>
      <c r="BH485" s="40">
        <f t="shared" si="361"/>
        <v>0</v>
      </c>
      <c r="BI485" s="40">
        <f t="shared" si="362"/>
        <v>0</v>
      </c>
      <c r="BJ485" s="40">
        <f t="shared" si="363"/>
        <v>0</v>
      </c>
      <c r="BK485" s="40"/>
      <c r="BL485" s="40">
        <v>18</v>
      </c>
    </row>
    <row r="486" spans="1:64" ht="15" customHeight="1">
      <c r="A486" s="19" t="s">
        <v>794</v>
      </c>
      <c r="B486" s="59" t="s">
        <v>190</v>
      </c>
      <c r="C486" s="76" t="s">
        <v>65</v>
      </c>
      <c r="D486" s="76"/>
      <c r="E486" s="76"/>
      <c r="F486" s="76"/>
      <c r="G486" s="59" t="s">
        <v>312</v>
      </c>
      <c r="H486" s="40">
        <v>10</v>
      </c>
      <c r="I486" s="40">
        <v>0</v>
      </c>
      <c r="J486" s="40">
        <f t="shared" si="342"/>
        <v>0</v>
      </c>
      <c r="K486" s="40">
        <f t="shared" si="343"/>
        <v>0</v>
      </c>
      <c r="L486" s="40">
        <f t="shared" si="344"/>
        <v>0</v>
      </c>
      <c r="M486" s="69" t="s">
        <v>868</v>
      </c>
      <c r="Z486" s="40">
        <f t="shared" si="345"/>
        <v>0</v>
      </c>
      <c r="AB486" s="40">
        <f t="shared" si="346"/>
        <v>0</v>
      </c>
      <c r="AC486" s="40">
        <f t="shared" si="347"/>
        <v>0</v>
      </c>
      <c r="AD486" s="40">
        <f t="shared" si="348"/>
        <v>0</v>
      </c>
      <c r="AE486" s="40">
        <f t="shared" si="349"/>
        <v>0</v>
      </c>
      <c r="AF486" s="40">
        <f t="shared" si="350"/>
        <v>0</v>
      </c>
      <c r="AG486" s="40">
        <f t="shared" si="351"/>
        <v>0</v>
      </c>
      <c r="AH486" s="40">
        <f t="shared" si="352"/>
        <v>0</v>
      </c>
      <c r="AI486" s="11" t="s">
        <v>643</v>
      </c>
      <c r="AJ486" s="40">
        <f t="shared" si="353"/>
        <v>0</v>
      </c>
      <c r="AK486" s="40">
        <f t="shared" si="354"/>
        <v>0</v>
      </c>
      <c r="AL486" s="40">
        <f t="shared" si="355"/>
        <v>0</v>
      </c>
      <c r="AN486" s="40">
        <v>21</v>
      </c>
      <c r="AO486" s="40">
        <f>I486*0.149796512387908</f>
        <v>0</v>
      </c>
      <c r="AP486" s="40">
        <f>I486*(1-0.149796512387908)</f>
        <v>0</v>
      </c>
      <c r="AQ486" s="17" t="s">
        <v>1260</v>
      </c>
      <c r="AV486" s="40">
        <f t="shared" si="356"/>
        <v>0</v>
      </c>
      <c r="AW486" s="40">
        <f t="shared" si="357"/>
        <v>0</v>
      </c>
      <c r="AX486" s="40">
        <f t="shared" si="358"/>
        <v>0</v>
      </c>
      <c r="AY486" s="17" t="s">
        <v>614</v>
      </c>
      <c r="AZ486" s="17" t="s">
        <v>1421</v>
      </c>
      <c r="BA486" s="11" t="s">
        <v>445</v>
      </c>
      <c r="BC486" s="40">
        <f t="shared" si="359"/>
        <v>0</v>
      </c>
      <c r="BD486" s="40">
        <f t="shared" si="360"/>
        <v>0</v>
      </c>
      <c r="BE486" s="40">
        <v>0</v>
      </c>
      <c r="BF486" s="40">
        <f>486</f>
        <v>486</v>
      </c>
      <c r="BH486" s="40">
        <f t="shared" si="361"/>
        <v>0</v>
      </c>
      <c r="BI486" s="40">
        <f t="shared" si="362"/>
        <v>0</v>
      </c>
      <c r="BJ486" s="40">
        <f t="shared" si="363"/>
        <v>0</v>
      </c>
      <c r="BK486" s="40"/>
      <c r="BL486" s="40">
        <v>18</v>
      </c>
    </row>
    <row r="487" spans="1:64" ht="15" customHeight="1">
      <c r="A487" s="19" t="s">
        <v>826</v>
      </c>
      <c r="B487" s="59" t="s">
        <v>518</v>
      </c>
      <c r="C487" s="76" t="s">
        <v>1283</v>
      </c>
      <c r="D487" s="76"/>
      <c r="E487" s="76"/>
      <c r="F487" s="76"/>
      <c r="G487" s="59" t="s">
        <v>312</v>
      </c>
      <c r="H487" s="40">
        <v>10</v>
      </c>
      <c r="I487" s="40">
        <v>0</v>
      </c>
      <c r="J487" s="40">
        <f t="shared" si="342"/>
        <v>0</v>
      </c>
      <c r="K487" s="40">
        <f t="shared" si="343"/>
        <v>0</v>
      </c>
      <c r="L487" s="40">
        <f t="shared" si="344"/>
        <v>0</v>
      </c>
      <c r="M487" s="69" t="s">
        <v>868</v>
      </c>
      <c r="Z487" s="40">
        <f t="shared" si="345"/>
        <v>0</v>
      </c>
      <c r="AB487" s="40">
        <f t="shared" si="346"/>
        <v>0</v>
      </c>
      <c r="AC487" s="40">
        <f t="shared" si="347"/>
        <v>0</v>
      </c>
      <c r="AD487" s="40">
        <f t="shared" si="348"/>
        <v>0</v>
      </c>
      <c r="AE487" s="40">
        <f t="shared" si="349"/>
        <v>0</v>
      </c>
      <c r="AF487" s="40">
        <f t="shared" si="350"/>
        <v>0</v>
      </c>
      <c r="AG487" s="40">
        <f t="shared" si="351"/>
        <v>0</v>
      </c>
      <c r="AH487" s="40">
        <f t="shared" si="352"/>
        <v>0</v>
      </c>
      <c r="AI487" s="11" t="s">
        <v>643</v>
      </c>
      <c r="AJ487" s="40">
        <f t="shared" si="353"/>
        <v>0</v>
      </c>
      <c r="AK487" s="40">
        <f t="shared" si="354"/>
        <v>0</v>
      </c>
      <c r="AL487" s="40">
        <f t="shared" si="355"/>
        <v>0</v>
      </c>
      <c r="AN487" s="40">
        <v>21</v>
      </c>
      <c r="AO487" s="40">
        <f>I487*1</f>
        <v>0</v>
      </c>
      <c r="AP487" s="40">
        <f>I487*(1-1)</f>
        <v>0</v>
      </c>
      <c r="AQ487" s="17" t="s">
        <v>1260</v>
      </c>
      <c r="AV487" s="40">
        <f t="shared" si="356"/>
        <v>0</v>
      </c>
      <c r="AW487" s="40">
        <f t="shared" si="357"/>
        <v>0</v>
      </c>
      <c r="AX487" s="40">
        <f t="shared" si="358"/>
        <v>0</v>
      </c>
      <c r="AY487" s="17" t="s">
        <v>614</v>
      </c>
      <c r="AZ487" s="17" t="s">
        <v>1421</v>
      </c>
      <c r="BA487" s="11" t="s">
        <v>445</v>
      </c>
      <c r="BC487" s="40">
        <f t="shared" si="359"/>
        <v>0</v>
      </c>
      <c r="BD487" s="40">
        <f t="shared" si="360"/>
        <v>0</v>
      </c>
      <c r="BE487" s="40">
        <v>0</v>
      </c>
      <c r="BF487" s="40">
        <f>487</f>
        <v>487</v>
      </c>
      <c r="BH487" s="40">
        <f t="shared" si="361"/>
        <v>0</v>
      </c>
      <c r="BI487" s="40">
        <f t="shared" si="362"/>
        <v>0</v>
      </c>
      <c r="BJ487" s="40">
        <f t="shared" si="363"/>
        <v>0</v>
      </c>
      <c r="BK487" s="40"/>
      <c r="BL487" s="40">
        <v>18</v>
      </c>
    </row>
    <row r="488" spans="1:13" ht="27" customHeight="1">
      <c r="A488" s="67"/>
      <c r="B488" s="18" t="s">
        <v>114</v>
      </c>
      <c r="C488" s="93" t="s">
        <v>1315</v>
      </c>
      <c r="D488" s="94"/>
      <c r="E488" s="94"/>
      <c r="F488" s="94"/>
      <c r="G488" s="94"/>
      <c r="H488" s="94"/>
      <c r="I488" s="94"/>
      <c r="J488" s="94"/>
      <c r="K488" s="94"/>
      <c r="L488" s="94"/>
      <c r="M488" s="95"/>
    </row>
    <row r="489" spans="1:64" ht="15" customHeight="1">
      <c r="A489" s="19" t="s">
        <v>1318</v>
      </c>
      <c r="B489" s="59" t="s">
        <v>777</v>
      </c>
      <c r="C489" s="76" t="s">
        <v>81</v>
      </c>
      <c r="D489" s="76"/>
      <c r="E489" s="76"/>
      <c r="F489" s="76"/>
      <c r="G489" s="59" t="s">
        <v>312</v>
      </c>
      <c r="H489" s="40">
        <v>10</v>
      </c>
      <c r="I489" s="40">
        <v>0</v>
      </c>
      <c r="J489" s="40">
        <f aca="true" t="shared" si="364" ref="J489:J494">H489*AO489</f>
        <v>0</v>
      </c>
      <c r="K489" s="40">
        <f aca="true" t="shared" si="365" ref="K489:K494">H489*AP489</f>
        <v>0</v>
      </c>
      <c r="L489" s="40">
        <f aca="true" t="shared" si="366" ref="L489:L494">H489*I489</f>
        <v>0</v>
      </c>
      <c r="M489" s="69" t="s">
        <v>868</v>
      </c>
      <c r="Z489" s="40">
        <f aca="true" t="shared" si="367" ref="Z489:Z494">IF(AQ489="5",BJ489,0)</f>
        <v>0</v>
      </c>
      <c r="AB489" s="40">
        <f aca="true" t="shared" si="368" ref="AB489:AB494">IF(AQ489="1",BH489,0)</f>
        <v>0</v>
      </c>
      <c r="AC489" s="40">
        <f aca="true" t="shared" si="369" ref="AC489:AC494">IF(AQ489="1",BI489,0)</f>
        <v>0</v>
      </c>
      <c r="AD489" s="40">
        <f aca="true" t="shared" si="370" ref="AD489:AD494">IF(AQ489="7",BH489,0)</f>
        <v>0</v>
      </c>
      <c r="AE489" s="40">
        <f aca="true" t="shared" si="371" ref="AE489:AE494">IF(AQ489="7",BI489,0)</f>
        <v>0</v>
      </c>
      <c r="AF489" s="40">
        <f aca="true" t="shared" si="372" ref="AF489:AF494">IF(AQ489="2",BH489,0)</f>
        <v>0</v>
      </c>
      <c r="AG489" s="40">
        <f aca="true" t="shared" si="373" ref="AG489:AG494">IF(AQ489="2",BI489,0)</f>
        <v>0</v>
      </c>
      <c r="AH489" s="40">
        <f aca="true" t="shared" si="374" ref="AH489:AH494">IF(AQ489="0",BJ489,0)</f>
        <v>0</v>
      </c>
      <c r="AI489" s="11" t="s">
        <v>643</v>
      </c>
      <c r="AJ489" s="40">
        <f aca="true" t="shared" si="375" ref="AJ489:AJ494">IF(AN489=0,L489,0)</f>
        <v>0</v>
      </c>
      <c r="AK489" s="40">
        <f aca="true" t="shared" si="376" ref="AK489:AK494">IF(AN489=15,L489,0)</f>
        <v>0</v>
      </c>
      <c r="AL489" s="40">
        <f aca="true" t="shared" si="377" ref="AL489:AL494">IF(AN489=21,L489,0)</f>
        <v>0</v>
      </c>
      <c r="AN489" s="40">
        <v>21</v>
      </c>
      <c r="AO489" s="40">
        <f>I489*0.194008810572687</f>
        <v>0</v>
      </c>
      <c r="AP489" s="40">
        <f>I489*(1-0.194008810572687)</f>
        <v>0</v>
      </c>
      <c r="AQ489" s="17" t="s">
        <v>1260</v>
      </c>
      <c r="AV489" s="40">
        <f aca="true" t="shared" si="378" ref="AV489:AV494">AW489+AX489</f>
        <v>0</v>
      </c>
      <c r="AW489" s="40">
        <f aca="true" t="shared" si="379" ref="AW489:AW494">H489*AO489</f>
        <v>0</v>
      </c>
      <c r="AX489" s="40">
        <f aca="true" t="shared" si="380" ref="AX489:AX494">H489*AP489</f>
        <v>0</v>
      </c>
      <c r="AY489" s="17" t="s">
        <v>614</v>
      </c>
      <c r="AZ489" s="17" t="s">
        <v>1421</v>
      </c>
      <c r="BA489" s="11" t="s">
        <v>445</v>
      </c>
      <c r="BC489" s="40">
        <f aca="true" t="shared" si="381" ref="BC489:BC494">AW489+AX489</f>
        <v>0</v>
      </c>
      <c r="BD489" s="40">
        <f aca="true" t="shared" si="382" ref="BD489:BD494">I489/(100-BE489)*100</f>
        <v>0</v>
      </c>
      <c r="BE489" s="40">
        <v>0</v>
      </c>
      <c r="BF489" s="40">
        <f>489</f>
        <v>489</v>
      </c>
      <c r="BH489" s="40">
        <f aca="true" t="shared" si="383" ref="BH489:BH494">H489*AO489</f>
        <v>0</v>
      </c>
      <c r="BI489" s="40">
        <f aca="true" t="shared" si="384" ref="BI489:BI494">H489*AP489</f>
        <v>0</v>
      </c>
      <c r="BJ489" s="40">
        <f aca="true" t="shared" si="385" ref="BJ489:BJ494">H489*I489</f>
        <v>0</v>
      </c>
      <c r="BK489" s="40"/>
      <c r="BL489" s="40">
        <v>18</v>
      </c>
    </row>
    <row r="490" spans="1:64" ht="15" customHeight="1">
      <c r="A490" s="19" t="s">
        <v>1168</v>
      </c>
      <c r="B490" s="59" t="s">
        <v>738</v>
      </c>
      <c r="C490" s="76" t="s">
        <v>1063</v>
      </c>
      <c r="D490" s="76"/>
      <c r="E490" s="76"/>
      <c r="F490" s="76"/>
      <c r="G490" s="59" t="s">
        <v>1243</v>
      </c>
      <c r="H490" s="40">
        <v>72</v>
      </c>
      <c r="I490" s="40">
        <v>0</v>
      </c>
      <c r="J490" s="40">
        <f t="shared" si="364"/>
        <v>0</v>
      </c>
      <c r="K490" s="40">
        <f t="shared" si="365"/>
        <v>0</v>
      </c>
      <c r="L490" s="40">
        <f t="shared" si="366"/>
        <v>0</v>
      </c>
      <c r="M490" s="69" t="s">
        <v>868</v>
      </c>
      <c r="Z490" s="40">
        <f t="shared" si="367"/>
        <v>0</v>
      </c>
      <c r="AB490" s="40">
        <f t="shared" si="368"/>
        <v>0</v>
      </c>
      <c r="AC490" s="40">
        <f t="shared" si="369"/>
        <v>0</v>
      </c>
      <c r="AD490" s="40">
        <f t="shared" si="370"/>
        <v>0</v>
      </c>
      <c r="AE490" s="40">
        <f t="shared" si="371"/>
        <v>0</v>
      </c>
      <c r="AF490" s="40">
        <f t="shared" si="372"/>
        <v>0</v>
      </c>
      <c r="AG490" s="40">
        <f t="shared" si="373"/>
        <v>0</v>
      </c>
      <c r="AH490" s="40">
        <f t="shared" si="374"/>
        <v>0</v>
      </c>
      <c r="AI490" s="11" t="s">
        <v>643</v>
      </c>
      <c r="AJ490" s="40">
        <f t="shared" si="375"/>
        <v>0</v>
      </c>
      <c r="AK490" s="40">
        <f t="shared" si="376"/>
        <v>0</v>
      </c>
      <c r="AL490" s="40">
        <f t="shared" si="377"/>
        <v>0</v>
      </c>
      <c r="AN490" s="40">
        <v>21</v>
      </c>
      <c r="AO490" s="40">
        <f>I490*0.599917508764694</f>
        <v>0</v>
      </c>
      <c r="AP490" s="40">
        <f>I490*(1-0.599917508764694)</f>
        <v>0</v>
      </c>
      <c r="AQ490" s="17" t="s">
        <v>1260</v>
      </c>
      <c r="AV490" s="40">
        <f t="shared" si="378"/>
        <v>0</v>
      </c>
      <c r="AW490" s="40">
        <f t="shared" si="379"/>
        <v>0</v>
      </c>
      <c r="AX490" s="40">
        <f t="shared" si="380"/>
        <v>0</v>
      </c>
      <c r="AY490" s="17" t="s">
        <v>614</v>
      </c>
      <c r="AZ490" s="17" t="s">
        <v>1421</v>
      </c>
      <c r="BA490" s="11" t="s">
        <v>445</v>
      </c>
      <c r="BC490" s="40">
        <f t="shared" si="381"/>
        <v>0</v>
      </c>
      <c r="BD490" s="40">
        <f t="shared" si="382"/>
        <v>0</v>
      </c>
      <c r="BE490" s="40">
        <v>0</v>
      </c>
      <c r="BF490" s="40">
        <f>490</f>
        <v>490</v>
      </c>
      <c r="BH490" s="40">
        <f t="shared" si="383"/>
        <v>0</v>
      </c>
      <c r="BI490" s="40">
        <f t="shared" si="384"/>
        <v>0</v>
      </c>
      <c r="BJ490" s="40">
        <f t="shared" si="385"/>
        <v>0</v>
      </c>
      <c r="BK490" s="40"/>
      <c r="BL490" s="40">
        <v>18</v>
      </c>
    </row>
    <row r="491" spans="1:64" ht="15" customHeight="1">
      <c r="A491" s="19" t="s">
        <v>982</v>
      </c>
      <c r="B491" s="59" t="s">
        <v>293</v>
      </c>
      <c r="C491" s="76" t="s">
        <v>1143</v>
      </c>
      <c r="D491" s="76"/>
      <c r="E491" s="76"/>
      <c r="F491" s="76"/>
      <c r="G491" s="59" t="s">
        <v>1243</v>
      </c>
      <c r="H491" s="40">
        <v>72</v>
      </c>
      <c r="I491" s="40">
        <v>0</v>
      </c>
      <c r="J491" s="40">
        <f t="shared" si="364"/>
        <v>0</v>
      </c>
      <c r="K491" s="40">
        <f t="shared" si="365"/>
        <v>0</v>
      </c>
      <c r="L491" s="40">
        <f t="shared" si="366"/>
        <v>0</v>
      </c>
      <c r="M491" s="69" t="s">
        <v>868</v>
      </c>
      <c r="Z491" s="40">
        <f t="shared" si="367"/>
        <v>0</v>
      </c>
      <c r="AB491" s="40">
        <f t="shared" si="368"/>
        <v>0</v>
      </c>
      <c r="AC491" s="40">
        <f t="shared" si="369"/>
        <v>0</v>
      </c>
      <c r="AD491" s="40">
        <f t="shared" si="370"/>
        <v>0</v>
      </c>
      <c r="AE491" s="40">
        <f t="shared" si="371"/>
        <v>0</v>
      </c>
      <c r="AF491" s="40">
        <f t="shared" si="372"/>
        <v>0</v>
      </c>
      <c r="AG491" s="40">
        <f t="shared" si="373"/>
        <v>0</v>
      </c>
      <c r="AH491" s="40">
        <f t="shared" si="374"/>
        <v>0</v>
      </c>
      <c r="AI491" s="11" t="s">
        <v>643</v>
      </c>
      <c r="AJ491" s="40">
        <f t="shared" si="375"/>
        <v>0</v>
      </c>
      <c r="AK491" s="40">
        <f t="shared" si="376"/>
        <v>0</v>
      </c>
      <c r="AL491" s="40">
        <f t="shared" si="377"/>
        <v>0</v>
      </c>
      <c r="AN491" s="40">
        <v>21</v>
      </c>
      <c r="AO491" s="40">
        <f>I491*0</f>
        <v>0</v>
      </c>
      <c r="AP491" s="40">
        <f>I491*(1-0)</f>
        <v>0</v>
      </c>
      <c r="AQ491" s="17" t="s">
        <v>1260</v>
      </c>
      <c r="AV491" s="40">
        <f t="shared" si="378"/>
        <v>0</v>
      </c>
      <c r="AW491" s="40">
        <f t="shared" si="379"/>
        <v>0</v>
      </c>
      <c r="AX491" s="40">
        <f t="shared" si="380"/>
        <v>0</v>
      </c>
      <c r="AY491" s="17" t="s">
        <v>614</v>
      </c>
      <c r="AZ491" s="17" t="s">
        <v>1421</v>
      </c>
      <c r="BA491" s="11" t="s">
        <v>445</v>
      </c>
      <c r="BC491" s="40">
        <f t="shared" si="381"/>
        <v>0</v>
      </c>
      <c r="BD491" s="40">
        <f t="shared" si="382"/>
        <v>0</v>
      </c>
      <c r="BE491" s="40">
        <v>0</v>
      </c>
      <c r="BF491" s="40">
        <f>491</f>
        <v>491</v>
      </c>
      <c r="BH491" s="40">
        <f t="shared" si="383"/>
        <v>0</v>
      </c>
      <c r="BI491" s="40">
        <f t="shared" si="384"/>
        <v>0</v>
      </c>
      <c r="BJ491" s="40">
        <f t="shared" si="385"/>
        <v>0</v>
      </c>
      <c r="BK491" s="40"/>
      <c r="BL491" s="40">
        <v>18</v>
      </c>
    </row>
    <row r="492" spans="1:64" ht="15" customHeight="1">
      <c r="A492" s="19" t="s">
        <v>928</v>
      </c>
      <c r="B492" s="59" t="s">
        <v>1135</v>
      </c>
      <c r="C492" s="76" t="s">
        <v>808</v>
      </c>
      <c r="D492" s="76"/>
      <c r="E492" s="76"/>
      <c r="F492" s="76"/>
      <c r="G492" s="59" t="s">
        <v>1220</v>
      </c>
      <c r="H492" s="40">
        <v>6</v>
      </c>
      <c r="I492" s="40">
        <v>0</v>
      </c>
      <c r="J492" s="40">
        <f t="shared" si="364"/>
        <v>0</v>
      </c>
      <c r="K492" s="40">
        <f t="shared" si="365"/>
        <v>0</v>
      </c>
      <c r="L492" s="40">
        <f t="shared" si="366"/>
        <v>0</v>
      </c>
      <c r="M492" s="69" t="s">
        <v>868</v>
      </c>
      <c r="Z492" s="40">
        <f t="shared" si="367"/>
        <v>0</v>
      </c>
      <c r="AB492" s="40">
        <f t="shared" si="368"/>
        <v>0</v>
      </c>
      <c r="AC492" s="40">
        <f t="shared" si="369"/>
        <v>0</v>
      </c>
      <c r="AD492" s="40">
        <f t="shared" si="370"/>
        <v>0</v>
      </c>
      <c r="AE492" s="40">
        <f t="shared" si="371"/>
        <v>0</v>
      </c>
      <c r="AF492" s="40">
        <f t="shared" si="372"/>
        <v>0</v>
      </c>
      <c r="AG492" s="40">
        <f t="shared" si="373"/>
        <v>0</v>
      </c>
      <c r="AH492" s="40">
        <f t="shared" si="374"/>
        <v>0</v>
      </c>
      <c r="AI492" s="11" t="s">
        <v>643</v>
      </c>
      <c r="AJ492" s="40">
        <f t="shared" si="375"/>
        <v>0</v>
      </c>
      <c r="AK492" s="40">
        <f t="shared" si="376"/>
        <v>0</v>
      </c>
      <c r="AL492" s="40">
        <f t="shared" si="377"/>
        <v>0</v>
      </c>
      <c r="AN492" s="40">
        <v>21</v>
      </c>
      <c r="AO492" s="40">
        <f>I492*0.306501547987616</f>
        <v>0</v>
      </c>
      <c r="AP492" s="40">
        <f>I492*(1-0.306501547987616)</f>
        <v>0</v>
      </c>
      <c r="AQ492" s="17" t="s">
        <v>1260</v>
      </c>
      <c r="AV492" s="40">
        <f t="shared" si="378"/>
        <v>0</v>
      </c>
      <c r="AW492" s="40">
        <f t="shared" si="379"/>
        <v>0</v>
      </c>
      <c r="AX492" s="40">
        <f t="shared" si="380"/>
        <v>0</v>
      </c>
      <c r="AY492" s="17" t="s">
        <v>614</v>
      </c>
      <c r="AZ492" s="17" t="s">
        <v>1421</v>
      </c>
      <c r="BA492" s="11" t="s">
        <v>445</v>
      </c>
      <c r="BC492" s="40">
        <f t="shared" si="381"/>
        <v>0</v>
      </c>
      <c r="BD492" s="40">
        <f t="shared" si="382"/>
        <v>0</v>
      </c>
      <c r="BE492" s="40">
        <v>0</v>
      </c>
      <c r="BF492" s="40">
        <f>492</f>
        <v>492</v>
      </c>
      <c r="BH492" s="40">
        <f t="shared" si="383"/>
        <v>0</v>
      </c>
      <c r="BI492" s="40">
        <f t="shared" si="384"/>
        <v>0</v>
      </c>
      <c r="BJ492" s="40">
        <f t="shared" si="385"/>
        <v>0</v>
      </c>
      <c r="BK492" s="40"/>
      <c r="BL492" s="40">
        <v>18</v>
      </c>
    </row>
    <row r="493" spans="1:64" ht="15" customHeight="1">
      <c r="A493" s="19" t="s">
        <v>769</v>
      </c>
      <c r="B493" s="59" t="s">
        <v>1099</v>
      </c>
      <c r="C493" s="76" t="s">
        <v>395</v>
      </c>
      <c r="D493" s="76"/>
      <c r="E493" s="76"/>
      <c r="F493" s="76"/>
      <c r="G493" s="59" t="s">
        <v>1243</v>
      </c>
      <c r="H493" s="40">
        <v>200</v>
      </c>
      <c r="I493" s="40">
        <v>0</v>
      </c>
      <c r="J493" s="40">
        <f t="shared" si="364"/>
        <v>0</v>
      </c>
      <c r="K493" s="40">
        <f t="shared" si="365"/>
        <v>0</v>
      </c>
      <c r="L493" s="40">
        <f t="shared" si="366"/>
        <v>0</v>
      </c>
      <c r="M493" s="69" t="s">
        <v>868</v>
      </c>
      <c r="Z493" s="40">
        <f t="shared" si="367"/>
        <v>0</v>
      </c>
      <c r="AB493" s="40">
        <f t="shared" si="368"/>
        <v>0</v>
      </c>
      <c r="AC493" s="40">
        <f t="shared" si="369"/>
        <v>0</v>
      </c>
      <c r="AD493" s="40">
        <f t="shared" si="370"/>
        <v>0</v>
      </c>
      <c r="AE493" s="40">
        <f t="shared" si="371"/>
        <v>0</v>
      </c>
      <c r="AF493" s="40">
        <f t="shared" si="372"/>
        <v>0</v>
      </c>
      <c r="AG493" s="40">
        <f t="shared" si="373"/>
        <v>0</v>
      </c>
      <c r="AH493" s="40">
        <f t="shared" si="374"/>
        <v>0</v>
      </c>
      <c r="AI493" s="11" t="s">
        <v>643</v>
      </c>
      <c r="AJ493" s="40">
        <f t="shared" si="375"/>
        <v>0</v>
      </c>
      <c r="AK493" s="40">
        <f t="shared" si="376"/>
        <v>0</v>
      </c>
      <c r="AL493" s="40">
        <f t="shared" si="377"/>
        <v>0</v>
      </c>
      <c r="AN493" s="40">
        <v>21</v>
      </c>
      <c r="AO493" s="40">
        <f>I493*0</f>
        <v>0</v>
      </c>
      <c r="AP493" s="40">
        <f>I493*(1-0)</f>
        <v>0</v>
      </c>
      <c r="AQ493" s="17" t="s">
        <v>1260</v>
      </c>
      <c r="AV493" s="40">
        <f t="shared" si="378"/>
        <v>0</v>
      </c>
      <c r="AW493" s="40">
        <f t="shared" si="379"/>
        <v>0</v>
      </c>
      <c r="AX493" s="40">
        <f t="shared" si="380"/>
        <v>0</v>
      </c>
      <c r="AY493" s="17" t="s">
        <v>614</v>
      </c>
      <c r="AZ493" s="17" t="s">
        <v>1421</v>
      </c>
      <c r="BA493" s="11" t="s">
        <v>445</v>
      </c>
      <c r="BC493" s="40">
        <f t="shared" si="381"/>
        <v>0</v>
      </c>
      <c r="BD493" s="40">
        <f t="shared" si="382"/>
        <v>0</v>
      </c>
      <c r="BE493" s="40">
        <v>0</v>
      </c>
      <c r="BF493" s="40">
        <f>493</f>
        <v>493</v>
      </c>
      <c r="BH493" s="40">
        <f t="shared" si="383"/>
        <v>0</v>
      </c>
      <c r="BI493" s="40">
        <f t="shared" si="384"/>
        <v>0</v>
      </c>
      <c r="BJ493" s="40">
        <f t="shared" si="385"/>
        <v>0</v>
      </c>
      <c r="BK493" s="40"/>
      <c r="BL493" s="40">
        <v>18</v>
      </c>
    </row>
    <row r="494" spans="1:64" ht="15" customHeight="1">
      <c r="A494" s="19" t="s">
        <v>839</v>
      </c>
      <c r="B494" s="59" t="s">
        <v>759</v>
      </c>
      <c r="C494" s="76" t="s">
        <v>83</v>
      </c>
      <c r="D494" s="76"/>
      <c r="E494" s="76"/>
      <c r="F494" s="76"/>
      <c r="G494" s="59" t="s">
        <v>392</v>
      </c>
      <c r="H494" s="40">
        <v>3</v>
      </c>
      <c r="I494" s="40">
        <v>0</v>
      </c>
      <c r="J494" s="40">
        <f t="shared" si="364"/>
        <v>0</v>
      </c>
      <c r="K494" s="40">
        <f t="shared" si="365"/>
        <v>0</v>
      </c>
      <c r="L494" s="40">
        <f t="shared" si="366"/>
        <v>0</v>
      </c>
      <c r="M494" s="69" t="s">
        <v>868</v>
      </c>
      <c r="Z494" s="40">
        <f t="shared" si="367"/>
        <v>0</v>
      </c>
      <c r="AB494" s="40">
        <f t="shared" si="368"/>
        <v>0</v>
      </c>
      <c r="AC494" s="40">
        <f t="shared" si="369"/>
        <v>0</v>
      </c>
      <c r="AD494" s="40">
        <f t="shared" si="370"/>
        <v>0</v>
      </c>
      <c r="AE494" s="40">
        <f t="shared" si="371"/>
        <v>0</v>
      </c>
      <c r="AF494" s="40">
        <f t="shared" si="372"/>
        <v>0</v>
      </c>
      <c r="AG494" s="40">
        <f t="shared" si="373"/>
        <v>0</v>
      </c>
      <c r="AH494" s="40">
        <f t="shared" si="374"/>
        <v>0</v>
      </c>
      <c r="AI494" s="11" t="s">
        <v>643</v>
      </c>
      <c r="AJ494" s="40">
        <f t="shared" si="375"/>
        <v>0</v>
      </c>
      <c r="AK494" s="40">
        <f t="shared" si="376"/>
        <v>0</v>
      </c>
      <c r="AL494" s="40">
        <f t="shared" si="377"/>
        <v>0</v>
      </c>
      <c r="AN494" s="40">
        <v>21</v>
      </c>
      <c r="AO494" s="40">
        <f>I494*1</f>
        <v>0</v>
      </c>
      <c r="AP494" s="40">
        <f>I494*(1-1)</f>
        <v>0</v>
      </c>
      <c r="AQ494" s="17" t="s">
        <v>1260</v>
      </c>
      <c r="AV494" s="40">
        <f t="shared" si="378"/>
        <v>0</v>
      </c>
      <c r="AW494" s="40">
        <f t="shared" si="379"/>
        <v>0</v>
      </c>
      <c r="AX494" s="40">
        <f t="shared" si="380"/>
        <v>0</v>
      </c>
      <c r="AY494" s="17" t="s">
        <v>614</v>
      </c>
      <c r="AZ494" s="17" t="s">
        <v>1421</v>
      </c>
      <c r="BA494" s="11" t="s">
        <v>445</v>
      </c>
      <c r="BC494" s="40">
        <f t="shared" si="381"/>
        <v>0</v>
      </c>
      <c r="BD494" s="40">
        <f t="shared" si="382"/>
        <v>0</v>
      </c>
      <c r="BE494" s="40">
        <v>0</v>
      </c>
      <c r="BF494" s="40">
        <f>494</f>
        <v>494</v>
      </c>
      <c r="BH494" s="40">
        <f t="shared" si="383"/>
        <v>0</v>
      </c>
      <c r="BI494" s="40">
        <f t="shared" si="384"/>
        <v>0</v>
      </c>
      <c r="BJ494" s="40">
        <f t="shared" si="385"/>
        <v>0</v>
      </c>
      <c r="BK494" s="40"/>
      <c r="BL494" s="40">
        <v>18</v>
      </c>
    </row>
    <row r="495" spans="1:13" ht="13.5" customHeight="1">
      <c r="A495" s="67"/>
      <c r="B495" s="18" t="s">
        <v>114</v>
      </c>
      <c r="C495" s="93" t="s">
        <v>859</v>
      </c>
      <c r="D495" s="94"/>
      <c r="E495" s="94"/>
      <c r="F495" s="94"/>
      <c r="G495" s="94"/>
      <c r="H495" s="94"/>
      <c r="I495" s="94"/>
      <c r="J495" s="94"/>
      <c r="K495" s="94"/>
      <c r="L495" s="94"/>
      <c r="M495" s="95"/>
    </row>
    <row r="496" spans="1:64" ht="15" customHeight="1">
      <c r="A496" s="19" t="s">
        <v>980</v>
      </c>
      <c r="B496" s="59" t="s">
        <v>293</v>
      </c>
      <c r="C496" s="76" t="s">
        <v>1143</v>
      </c>
      <c r="D496" s="76"/>
      <c r="E496" s="76"/>
      <c r="F496" s="76"/>
      <c r="G496" s="59" t="s">
        <v>1243</v>
      </c>
      <c r="H496" s="40">
        <v>72</v>
      </c>
      <c r="I496" s="40">
        <v>0</v>
      </c>
      <c r="J496" s="40">
        <f aca="true" t="shared" si="386" ref="J496:J503">H496*AO496</f>
        <v>0</v>
      </c>
      <c r="K496" s="40">
        <f aca="true" t="shared" si="387" ref="K496:K503">H496*AP496</f>
        <v>0</v>
      </c>
      <c r="L496" s="40">
        <f aca="true" t="shared" si="388" ref="L496:L503">H496*I496</f>
        <v>0</v>
      </c>
      <c r="M496" s="69" t="s">
        <v>868</v>
      </c>
      <c r="Z496" s="40">
        <f aca="true" t="shared" si="389" ref="Z496:Z503">IF(AQ496="5",BJ496,0)</f>
        <v>0</v>
      </c>
      <c r="AB496" s="40">
        <f aca="true" t="shared" si="390" ref="AB496:AB503">IF(AQ496="1",BH496,0)</f>
        <v>0</v>
      </c>
      <c r="AC496" s="40">
        <f aca="true" t="shared" si="391" ref="AC496:AC503">IF(AQ496="1",BI496,0)</f>
        <v>0</v>
      </c>
      <c r="AD496" s="40">
        <f aca="true" t="shared" si="392" ref="AD496:AD503">IF(AQ496="7",BH496,0)</f>
        <v>0</v>
      </c>
      <c r="AE496" s="40">
        <f aca="true" t="shared" si="393" ref="AE496:AE503">IF(AQ496="7",BI496,0)</f>
        <v>0</v>
      </c>
      <c r="AF496" s="40">
        <f aca="true" t="shared" si="394" ref="AF496:AF503">IF(AQ496="2",BH496,0)</f>
        <v>0</v>
      </c>
      <c r="AG496" s="40">
        <f aca="true" t="shared" si="395" ref="AG496:AG503">IF(AQ496="2",BI496,0)</f>
        <v>0</v>
      </c>
      <c r="AH496" s="40">
        <f aca="true" t="shared" si="396" ref="AH496:AH503">IF(AQ496="0",BJ496,0)</f>
        <v>0</v>
      </c>
      <c r="AI496" s="11" t="s">
        <v>643</v>
      </c>
      <c r="AJ496" s="40">
        <f aca="true" t="shared" si="397" ref="AJ496:AJ503">IF(AN496=0,L496,0)</f>
        <v>0</v>
      </c>
      <c r="AK496" s="40">
        <f aca="true" t="shared" si="398" ref="AK496:AK503">IF(AN496=15,L496,0)</f>
        <v>0</v>
      </c>
      <c r="AL496" s="40">
        <f aca="true" t="shared" si="399" ref="AL496:AL503">IF(AN496=21,L496,0)</f>
        <v>0</v>
      </c>
      <c r="AN496" s="40">
        <v>21</v>
      </c>
      <c r="AO496" s="40">
        <f>I496*0</f>
        <v>0</v>
      </c>
      <c r="AP496" s="40">
        <f>I496*(1-0)</f>
        <v>0</v>
      </c>
      <c r="AQ496" s="17" t="s">
        <v>1260</v>
      </c>
      <c r="AV496" s="40">
        <f aca="true" t="shared" si="400" ref="AV496:AV503">AW496+AX496</f>
        <v>0</v>
      </c>
      <c r="AW496" s="40">
        <f aca="true" t="shared" si="401" ref="AW496:AW503">H496*AO496</f>
        <v>0</v>
      </c>
      <c r="AX496" s="40">
        <f aca="true" t="shared" si="402" ref="AX496:AX503">H496*AP496</f>
        <v>0</v>
      </c>
      <c r="AY496" s="17" t="s">
        <v>614</v>
      </c>
      <c r="AZ496" s="17" t="s">
        <v>1421</v>
      </c>
      <c r="BA496" s="11" t="s">
        <v>445</v>
      </c>
      <c r="BC496" s="40">
        <f aca="true" t="shared" si="403" ref="BC496:BC503">AW496+AX496</f>
        <v>0</v>
      </c>
      <c r="BD496" s="40">
        <f aca="true" t="shared" si="404" ref="BD496:BD503">I496/(100-BE496)*100</f>
        <v>0</v>
      </c>
      <c r="BE496" s="40">
        <v>0</v>
      </c>
      <c r="BF496" s="40">
        <f>496</f>
        <v>496</v>
      </c>
      <c r="BH496" s="40">
        <f aca="true" t="shared" si="405" ref="BH496:BH503">H496*AO496</f>
        <v>0</v>
      </c>
      <c r="BI496" s="40">
        <f aca="true" t="shared" si="406" ref="BI496:BI503">H496*AP496</f>
        <v>0</v>
      </c>
      <c r="BJ496" s="40">
        <f aca="true" t="shared" si="407" ref="BJ496:BJ503">H496*I496</f>
        <v>0</v>
      </c>
      <c r="BK496" s="40"/>
      <c r="BL496" s="40">
        <v>18</v>
      </c>
    </row>
    <row r="497" spans="1:64" ht="15" customHeight="1">
      <c r="A497" s="19" t="s">
        <v>844</v>
      </c>
      <c r="B497" s="59" t="s">
        <v>1164</v>
      </c>
      <c r="C497" s="76" t="s">
        <v>1026</v>
      </c>
      <c r="D497" s="76"/>
      <c r="E497" s="76"/>
      <c r="F497" s="76"/>
      <c r="G497" s="59" t="s">
        <v>1197</v>
      </c>
      <c r="H497" s="40">
        <v>1</v>
      </c>
      <c r="I497" s="40">
        <v>0</v>
      </c>
      <c r="J497" s="40">
        <f t="shared" si="386"/>
        <v>0</v>
      </c>
      <c r="K497" s="40">
        <f t="shared" si="387"/>
        <v>0</v>
      </c>
      <c r="L497" s="40">
        <f t="shared" si="388"/>
        <v>0</v>
      </c>
      <c r="M497" s="69" t="s">
        <v>868</v>
      </c>
      <c r="Z497" s="40">
        <f t="shared" si="389"/>
        <v>0</v>
      </c>
      <c r="AB497" s="40">
        <f t="shared" si="390"/>
        <v>0</v>
      </c>
      <c r="AC497" s="40">
        <f t="shared" si="391"/>
        <v>0</v>
      </c>
      <c r="AD497" s="40">
        <f t="shared" si="392"/>
        <v>0</v>
      </c>
      <c r="AE497" s="40">
        <f t="shared" si="393"/>
        <v>0</v>
      </c>
      <c r="AF497" s="40">
        <f t="shared" si="394"/>
        <v>0</v>
      </c>
      <c r="AG497" s="40">
        <f t="shared" si="395"/>
        <v>0</v>
      </c>
      <c r="AH497" s="40">
        <f t="shared" si="396"/>
        <v>0</v>
      </c>
      <c r="AI497" s="11" t="s">
        <v>643</v>
      </c>
      <c r="AJ497" s="40">
        <f t="shared" si="397"/>
        <v>0</v>
      </c>
      <c r="AK497" s="40">
        <f t="shared" si="398"/>
        <v>0</v>
      </c>
      <c r="AL497" s="40">
        <f t="shared" si="399"/>
        <v>0</v>
      </c>
      <c r="AN497" s="40">
        <v>21</v>
      </c>
      <c r="AO497" s="40">
        <f>I497*1</f>
        <v>0</v>
      </c>
      <c r="AP497" s="40">
        <f>I497*(1-1)</f>
        <v>0</v>
      </c>
      <c r="AQ497" s="17" t="s">
        <v>1260</v>
      </c>
      <c r="AV497" s="40">
        <f t="shared" si="400"/>
        <v>0</v>
      </c>
      <c r="AW497" s="40">
        <f t="shared" si="401"/>
        <v>0</v>
      </c>
      <c r="AX497" s="40">
        <f t="shared" si="402"/>
        <v>0</v>
      </c>
      <c r="AY497" s="17" t="s">
        <v>614</v>
      </c>
      <c r="AZ497" s="17" t="s">
        <v>1421</v>
      </c>
      <c r="BA497" s="11" t="s">
        <v>445</v>
      </c>
      <c r="BC497" s="40">
        <f t="shared" si="403"/>
        <v>0</v>
      </c>
      <c r="BD497" s="40">
        <f t="shared" si="404"/>
        <v>0</v>
      </c>
      <c r="BE497" s="40">
        <v>0</v>
      </c>
      <c r="BF497" s="40">
        <f>497</f>
        <v>497</v>
      </c>
      <c r="BH497" s="40">
        <f t="shared" si="405"/>
        <v>0</v>
      </c>
      <c r="BI497" s="40">
        <f t="shared" si="406"/>
        <v>0</v>
      </c>
      <c r="BJ497" s="40">
        <f t="shared" si="407"/>
        <v>0</v>
      </c>
      <c r="BK497" s="40"/>
      <c r="BL497" s="40">
        <v>18</v>
      </c>
    </row>
    <row r="498" spans="1:64" ht="15" customHeight="1">
      <c r="A498" s="19" t="s">
        <v>1042</v>
      </c>
      <c r="B498" s="59" t="s">
        <v>758</v>
      </c>
      <c r="C498" s="76" t="s">
        <v>867</v>
      </c>
      <c r="D498" s="76"/>
      <c r="E498" s="76"/>
      <c r="F498" s="76"/>
      <c r="G498" s="59" t="s">
        <v>312</v>
      </c>
      <c r="H498" s="40">
        <v>21</v>
      </c>
      <c r="I498" s="40">
        <v>0</v>
      </c>
      <c r="J498" s="40">
        <f t="shared" si="386"/>
        <v>0</v>
      </c>
      <c r="K498" s="40">
        <f t="shared" si="387"/>
        <v>0</v>
      </c>
      <c r="L498" s="40">
        <f t="shared" si="388"/>
        <v>0</v>
      </c>
      <c r="M498" s="69" t="s">
        <v>868</v>
      </c>
      <c r="Z498" s="40">
        <f t="shared" si="389"/>
        <v>0</v>
      </c>
      <c r="AB498" s="40">
        <f t="shared" si="390"/>
        <v>0</v>
      </c>
      <c r="AC498" s="40">
        <f t="shared" si="391"/>
        <v>0</v>
      </c>
      <c r="AD498" s="40">
        <f t="shared" si="392"/>
        <v>0</v>
      </c>
      <c r="AE498" s="40">
        <f t="shared" si="393"/>
        <v>0</v>
      </c>
      <c r="AF498" s="40">
        <f t="shared" si="394"/>
        <v>0</v>
      </c>
      <c r="AG498" s="40">
        <f t="shared" si="395"/>
        <v>0</v>
      </c>
      <c r="AH498" s="40">
        <f t="shared" si="396"/>
        <v>0</v>
      </c>
      <c r="AI498" s="11" t="s">
        <v>643</v>
      </c>
      <c r="AJ498" s="40">
        <f t="shared" si="397"/>
        <v>0</v>
      </c>
      <c r="AK498" s="40">
        <f t="shared" si="398"/>
        <v>0</v>
      </c>
      <c r="AL498" s="40">
        <f t="shared" si="399"/>
        <v>0</v>
      </c>
      <c r="AN498" s="40">
        <v>21</v>
      </c>
      <c r="AO498" s="40">
        <f>I498*1</f>
        <v>0</v>
      </c>
      <c r="AP498" s="40">
        <f>I498*(1-1)</f>
        <v>0</v>
      </c>
      <c r="AQ498" s="17" t="s">
        <v>1260</v>
      </c>
      <c r="AV498" s="40">
        <f t="shared" si="400"/>
        <v>0</v>
      </c>
      <c r="AW498" s="40">
        <f t="shared" si="401"/>
        <v>0</v>
      </c>
      <c r="AX498" s="40">
        <f t="shared" si="402"/>
        <v>0</v>
      </c>
      <c r="AY498" s="17" t="s">
        <v>614</v>
      </c>
      <c r="AZ498" s="17" t="s">
        <v>1421</v>
      </c>
      <c r="BA498" s="11" t="s">
        <v>445</v>
      </c>
      <c r="BC498" s="40">
        <f t="shared" si="403"/>
        <v>0</v>
      </c>
      <c r="BD498" s="40">
        <f t="shared" si="404"/>
        <v>0</v>
      </c>
      <c r="BE498" s="40">
        <v>0</v>
      </c>
      <c r="BF498" s="40">
        <f>498</f>
        <v>498</v>
      </c>
      <c r="BH498" s="40">
        <f t="shared" si="405"/>
        <v>0</v>
      </c>
      <c r="BI498" s="40">
        <f t="shared" si="406"/>
        <v>0</v>
      </c>
      <c r="BJ498" s="40">
        <f t="shared" si="407"/>
        <v>0</v>
      </c>
      <c r="BK498" s="40"/>
      <c r="BL498" s="40">
        <v>18</v>
      </c>
    </row>
    <row r="499" spans="1:64" ht="15" customHeight="1">
      <c r="A499" s="19" t="s">
        <v>439</v>
      </c>
      <c r="B499" s="59" t="s">
        <v>749</v>
      </c>
      <c r="C499" s="76" t="s">
        <v>626</v>
      </c>
      <c r="D499" s="76"/>
      <c r="E499" s="76"/>
      <c r="F499" s="76"/>
      <c r="G499" s="59" t="s">
        <v>1243</v>
      </c>
      <c r="H499" s="40">
        <v>26.5</v>
      </c>
      <c r="I499" s="40">
        <v>0</v>
      </c>
      <c r="J499" s="40">
        <f t="shared" si="386"/>
        <v>0</v>
      </c>
      <c r="K499" s="40">
        <f t="shared" si="387"/>
        <v>0</v>
      </c>
      <c r="L499" s="40">
        <f t="shared" si="388"/>
        <v>0</v>
      </c>
      <c r="M499" s="69" t="s">
        <v>868</v>
      </c>
      <c r="Z499" s="40">
        <f t="shared" si="389"/>
        <v>0</v>
      </c>
      <c r="AB499" s="40">
        <f t="shared" si="390"/>
        <v>0</v>
      </c>
      <c r="AC499" s="40">
        <f t="shared" si="391"/>
        <v>0</v>
      </c>
      <c r="AD499" s="40">
        <f t="shared" si="392"/>
        <v>0</v>
      </c>
      <c r="AE499" s="40">
        <f t="shared" si="393"/>
        <v>0</v>
      </c>
      <c r="AF499" s="40">
        <f t="shared" si="394"/>
        <v>0</v>
      </c>
      <c r="AG499" s="40">
        <f t="shared" si="395"/>
        <v>0</v>
      </c>
      <c r="AH499" s="40">
        <f t="shared" si="396"/>
        <v>0</v>
      </c>
      <c r="AI499" s="11" t="s">
        <v>643</v>
      </c>
      <c r="AJ499" s="40">
        <f t="shared" si="397"/>
        <v>0</v>
      </c>
      <c r="AK499" s="40">
        <f t="shared" si="398"/>
        <v>0</v>
      </c>
      <c r="AL499" s="40">
        <f t="shared" si="399"/>
        <v>0</v>
      </c>
      <c r="AN499" s="40">
        <v>21</v>
      </c>
      <c r="AO499" s="40">
        <f>I499*1</f>
        <v>0</v>
      </c>
      <c r="AP499" s="40">
        <f>I499*(1-1)</f>
        <v>0</v>
      </c>
      <c r="AQ499" s="17" t="s">
        <v>1260</v>
      </c>
      <c r="AV499" s="40">
        <f t="shared" si="400"/>
        <v>0</v>
      </c>
      <c r="AW499" s="40">
        <f t="shared" si="401"/>
        <v>0</v>
      </c>
      <c r="AX499" s="40">
        <f t="shared" si="402"/>
        <v>0</v>
      </c>
      <c r="AY499" s="17" t="s">
        <v>614</v>
      </c>
      <c r="AZ499" s="17" t="s">
        <v>1421</v>
      </c>
      <c r="BA499" s="11" t="s">
        <v>445</v>
      </c>
      <c r="BC499" s="40">
        <f t="shared" si="403"/>
        <v>0</v>
      </c>
      <c r="BD499" s="40">
        <f t="shared" si="404"/>
        <v>0</v>
      </c>
      <c r="BE499" s="40">
        <v>0</v>
      </c>
      <c r="BF499" s="40">
        <f>499</f>
        <v>499</v>
      </c>
      <c r="BH499" s="40">
        <f t="shared" si="405"/>
        <v>0</v>
      </c>
      <c r="BI499" s="40">
        <f t="shared" si="406"/>
        <v>0</v>
      </c>
      <c r="BJ499" s="40">
        <f t="shared" si="407"/>
        <v>0</v>
      </c>
      <c r="BK499" s="40"/>
      <c r="BL499" s="40">
        <v>18</v>
      </c>
    </row>
    <row r="500" spans="1:64" ht="15" customHeight="1">
      <c r="A500" s="19" t="s">
        <v>289</v>
      </c>
      <c r="B500" s="59" t="s">
        <v>1005</v>
      </c>
      <c r="C500" s="76" t="s">
        <v>545</v>
      </c>
      <c r="D500" s="76"/>
      <c r="E500" s="76"/>
      <c r="F500" s="76"/>
      <c r="G500" s="59" t="s">
        <v>565</v>
      </c>
      <c r="H500" s="40">
        <v>5.2</v>
      </c>
      <c r="I500" s="40">
        <v>0</v>
      </c>
      <c r="J500" s="40">
        <f t="shared" si="386"/>
        <v>0</v>
      </c>
      <c r="K500" s="40">
        <f t="shared" si="387"/>
        <v>0</v>
      </c>
      <c r="L500" s="40">
        <f t="shared" si="388"/>
        <v>0</v>
      </c>
      <c r="M500" s="69" t="s">
        <v>868</v>
      </c>
      <c r="Z500" s="40">
        <f t="shared" si="389"/>
        <v>0</v>
      </c>
      <c r="AB500" s="40">
        <f t="shared" si="390"/>
        <v>0</v>
      </c>
      <c r="AC500" s="40">
        <f t="shared" si="391"/>
        <v>0</v>
      </c>
      <c r="AD500" s="40">
        <f t="shared" si="392"/>
        <v>0</v>
      </c>
      <c r="AE500" s="40">
        <f t="shared" si="393"/>
        <v>0</v>
      </c>
      <c r="AF500" s="40">
        <f t="shared" si="394"/>
        <v>0</v>
      </c>
      <c r="AG500" s="40">
        <f t="shared" si="395"/>
        <v>0</v>
      </c>
      <c r="AH500" s="40">
        <f t="shared" si="396"/>
        <v>0</v>
      </c>
      <c r="AI500" s="11" t="s">
        <v>643</v>
      </c>
      <c r="AJ500" s="40">
        <f t="shared" si="397"/>
        <v>0</v>
      </c>
      <c r="AK500" s="40">
        <f t="shared" si="398"/>
        <v>0</v>
      </c>
      <c r="AL500" s="40">
        <f t="shared" si="399"/>
        <v>0</v>
      </c>
      <c r="AN500" s="40">
        <v>21</v>
      </c>
      <c r="AO500" s="40">
        <f>I500*1</f>
        <v>0</v>
      </c>
      <c r="AP500" s="40">
        <f>I500*(1-1)</f>
        <v>0</v>
      </c>
      <c r="AQ500" s="17" t="s">
        <v>1260</v>
      </c>
      <c r="AV500" s="40">
        <f t="shared" si="400"/>
        <v>0</v>
      </c>
      <c r="AW500" s="40">
        <f t="shared" si="401"/>
        <v>0</v>
      </c>
      <c r="AX500" s="40">
        <f t="shared" si="402"/>
        <v>0</v>
      </c>
      <c r="AY500" s="17" t="s">
        <v>614</v>
      </c>
      <c r="AZ500" s="17" t="s">
        <v>1421</v>
      </c>
      <c r="BA500" s="11" t="s">
        <v>445</v>
      </c>
      <c r="BC500" s="40">
        <f t="shared" si="403"/>
        <v>0</v>
      </c>
      <c r="BD500" s="40">
        <f t="shared" si="404"/>
        <v>0</v>
      </c>
      <c r="BE500" s="40">
        <v>0</v>
      </c>
      <c r="BF500" s="40">
        <f>500</f>
        <v>500</v>
      </c>
      <c r="BH500" s="40">
        <f t="shared" si="405"/>
        <v>0</v>
      </c>
      <c r="BI500" s="40">
        <f t="shared" si="406"/>
        <v>0</v>
      </c>
      <c r="BJ500" s="40">
        <f t="shared" si="407"/>
        <v>0</v>
      </c>
      <c r="BK500" s="40"/>
      <c r="BL500" s="40">
        <v>18</v>
      </c>
    </row>
    <row r="501" spans="1:64" ht="15" customHeight="1">
      <c r="A501" s="19" t="s">
        <v>1389</v>
      </c>
      <c r="B501" s="59" t="s">
        <v>1333</v>
      </c>
      <c r="C501" s="76" t="s">
        <v>436</v>
      </c>
      <c r="D501" s="76"/>
      <c r="E501" s="76"/>
      <c r="F501" s="76"/>
      <c r="G501" s="59" t="s">
        <v>312</v>
      </c>
      <c r="H501" s="40">
        <v>64</v>
      </c>
      <c r="I501" s="40">
        <v>0</v>
      </c>
      <c r="J501" s="40">
        <f t="shared" si="386"/>
        <v>0</v>
      </c>
      <c r="K501" s="40">
        <f t="shared" si="387"/>
        <v>0</v>
      </c>
      <c r="L501" s="40">
        <f t="shared" si="388"/>
        <v>0</v>
      </c>
      <c r="M501" s="69" t="s">
        <v>868</v>
      </c>
      <c r="Z501" s="40">
        <f t="shared" si="389"/>
        <v>0</v>
      </c>
      <c r="AB501" s="40">
        <f t="shared" si="390"/>
        <v>0</v>
      </c>
      <c r="AC501" s="40">
        <f t="shared" si="391"/>
        <v>0</v>
      </c>
      <c r="AD501" s="40">
        <f t="shared" si="392"/>
        <v>0</v>
      </c>
      <c r="AE501" s="40">
        <f t="shared" si="393"/>
        <v>0</v>
      </c>
      <c r="AF501" s="40">
        <f t="shared" si="394"/>
        <v>0</v>
      </c>
      <c r="AG501" s="40">
        <f t="shared" si="395"/>
        <v>0</v>
      </c>
      <c r="AH501" s="40">
        <f t="shared" si="396"/>
        <v>0</v>
      </c>
      <c r="AI501" s="11" t="s">
        <v>643</v>
      </c>
      <c r="AJ501" s="40">
        <f t="shared" si="397"/>
        <v>0</v>
      </c>
      <c r="AK501" s="40">
        <f t="shared" si="398"/>
        <v>0</v>
      </c>
      <c r="AL501" s="40">
        <f t="shared" si="399"/>
        <v>0</v>
      </c>
      <c r="AN501" s="40">
        <v>21</v>
      </c>
      <c r="AO501" s="40">
        <f>I501*1</f>
        <v>0</v>
      </c>
      <c r="AP501" s="40">
        <f>I501*(1-1)</f>
        <v>0</v>
      </c>
      <c r="AQ501" s="17" t="s">
        <v>1260</v>
      </c>
      <c r="AV501" s="40">
        <f t="shared" si="400"/>
        <v>0</v>
      </c>
      <c r="AW501" s="40">
        <f t="shared" si="401"/>
        <v>0</v>
      </c>
      <c r="AX501" s="40">
        <f t="shared" si="402"/>
        <v>0</v>
      </c>
      <c r="AY501" s="17" t="s">
        <v>614</v>
      </c>
      <c r="AZ501" s="17" t="s">
        <v>1421</v>
      </c>
      <c r="BA501" s="11" t="s">
        <v>445</v>
      </c>
      <c r="BC501" s="40">
        <f t="shared" si="403"/>
        <v>0</v>
      </c>
      <c r="BD501" s="40">
        <f t="shared" si="404"/>
        <v>0</v>
      </c>
      <c r="BE501" s="40">
        <v>0</v>
      </c>
      <c r="BF501" s="40">
        <f>501</f>
        <v>501</v>
      </c>
      <c r="BH501" s="40">
        <f t="shared" si="405"/>
        <v>0</v>
      </c>
      <c r="BI501" s="40">
        <f t="shared" si="406"/>
        <v>0</v>
      </c>
      <c r="BJ501" s="40">
        <f t="shared" si="407"/>
        <v>0</v>
      </c>
      <c r="BK501" s="40"/>
      <c r="BL501" s="40">
        <v>18</v>
      </c>
    </row>
    <row r="502" spans="1:64" ht="15" customHeight="1">
      <c r="A502" s="19" t="s">
        <v>131</v>
      </c>
      <c r="B502" s="59" t="s">
        <v>369</v>
      </c>
      <c r="C502" s="76" t="s">
        <v>1416</v>
      </c>
      <c r="D502" s="76"/>
      <c r="E502" s="76"/>
      <c r="F502" s="76"/>
      <c r="G502" s="59" t="s">
        <v>1243</v>
      </c>
      <c r="H502" s="40">
        <v>48</v>
      </c>
      <c r="I502" s="40">
        <v>0</v>
      </c>
      <c r="J502" s="40">
        <f t="shared" si="386"/>
        <v>0</v>
      </c>
      <c r="K502" s="40">
        <f t="shared" si="387"/>
        <v>0</v>
      </c>
      <c r="L502" s="40">
        <f t="shared" si="388"/>
        <v>0</v>
      </c>
      <c r="M502" s="69" t="s">
        <v>868</v>
      </c>
      <c r="Z502" s="40">
        <f t="shared" si="389"/>
        <v>0</v>
      </c>
      <c r="AB502" s="40">
        <f t="shared" si="390"/>
        <v>0</v>
      </c>
      <c r="AC502" s="40">
        <f t="shared" si="391"/>
        <v>0</v>
      </c>
      <c r="AD502" s="40">
        <f t="shared" si="392"/>
        <v>0</v>
      </c>
      <c r="AE502" s="40">
        <f t="shared" si="393"/>
        <v>0</v>
      </c>
      <c r="AF502" s="40">
        <f t="shared" si="394"/>
        <v>0</v>
      </c>
      <c r="AG502" s="40">
        <f t="shared" si="395"/>
        <v>0</v>
      </c>
      <c r="AH502" s="40">
        <f t="shared" si="396"/>
        <v>0</v>
      </c>
      <c r="AI502" s="11" t="s">
        <v>643</v>
      </c>
      <c r="AJ502" s="40">
        <f t="shared" si="397"/>
        <v>0</v>
      </c>
      <c r="AK502" s="40">
        <f t="shared" si="398"/>
        <v>0</v>
      </c>
      <c r="AL502" s="40">
        <f t="shared" si="399"/>
        <v>0</v>
      </c>
      <c r="AN502" s="40">
        <v>21</v>
      </c>
      <c r="AO502" s="40">
        <f>I502*0</f>
        <v>0</v>
      </c>
      <c r="AP502" s="40">
        <f>I502*(1-0)</f>
        <v>0</v>
      </c>
      <c r="AQ502" s="17" t="s">
        <v>1260</v>
      </c>
      <c r="AV502" s="40">
        <f t="shared" si="400"/>
        <v>0</v>
      </c>
      <c r="AW502" s="40">
        <f t="shared" si="401"/>
        <v>0</v>
      </c>
      <c r="AX502" s="40">
        <f t="shared" si="402"/>
        <v>0</v>
      </c>
      <c r="AY502" s="17" t="s">
        <v>614</v>
      </c>
      <c r="AZ502" s="17" t="s">
        <v>1421</v>
      </c>
      <c r="BA502" s="11" t="s">
        <v>445</v>
      </c>
      <c r="BC502" s="40">
        <f t="shared" si="403"/>
        <v>0</v>
      </c>
      <c r="BD502" s="40">
        <f t="shared" si="404"/>
        <v>0</v>
      </c>
      <c r="BE502" s="40">
        <v>0</v>
      </c>
      <c r="BF502" s="40">
        <f>502</f>
        <v>502</v>
      </c>
      <c r="BH502" s="40">
        <f t="shared" si="405"/>
        <v>0</v>
      </c>
      <c r="BI502" s="40">
        <f t="shared" si="406"/>
        <v>0</v>
      </c>
      <c r="BJ502" s="40">
        <f t="shared" si="407"/>
        <v>0</v>
      </c>
      <c r="BK502" s="40"/>
      <c r="BL502" s="40">
        <v>18</v>
      </c>
    </row>
    <row r="503" spans="1:64" ht="15" customHeight="1">
      <c r="A503" s="19" t="s">
        <v>489</v>
      </c>
      <c r="B503" s="59" t="s">
        <v>619</v>
      </c>
      <c r="C503" s="76" t="s">
        <v>1000</v>
      </c>
      <c r="D503" s="76"/>
      <c r="E503" s="76"/>
      <c r="F503" s="76"/>
      <c r="G503" s="59" t="s">
        <v>1220</v>
      </c>
      <c r="H503" s="40">
        <v>0.5</v>
      </c>
      <c r="I503" s="40">
        <v>0</v>
      </c>
      <c r="J503" s="40">
        <f t="shared" si="386"/>
        <v>0</v>
      </c>
      <c r="K503" s="40">
        <f t="shared" si="387"/>
        <v>0</v>
      </c>
      <c r="L503" s="40">
        <f t="shared" si="388"/>
        <v>0</v>
      </c>
      <c r="M503" s="69" t="s">
        <v>868</v>
      </c>
      <c r="Z503" s="40">
        <f t="shared" si="389"/>
        <v>0</v>
      </c>
      <c r="AB503" s="40">
        <f t="shared" si="390"/>
        <v>0</v>
      </c>
      <c r="AC503" s="40">
        <f t="shared" si="391"/>
        <v>0</v>
      </c>
      <c r="AD503" s="40">
        <f t="shared" si="392"/>
        <v>0</v>
      </c>
      <c r="AE503" s="40">
        <f t="shared" si="393"/>
        <v>0</v>
      </c>
      <c r="AF503" s="40">
        <f t="shared" si="394"/>
        <v>0</v>
      </c>
      <c r="AG503" s="40">
        <f t="shared" si="395"/>
        <v>0</v>
      </c>
      <c r="AH503" s="40">
        <f t="shared" si="396"/>
        <v>0</v>
      </c>
      <c r="AI503" s="11" t="s">
        <v>643</v>
      </c>
      <c r="AJ503" s="40">
        <f t="shared" si="397"/>
        <v>0</v>
      </c>
      <c r="AK503" s="40">
        <f t="shared" si="398"/>
        <v>0</v>
      </c>
      <c r="AL503" s="40">
        <f t="shared" si="399"/>
        <v>0</v>
      </c>
      <c r="AN503" s="40">
        <v>21</v>
      </c>
      <c r="AO503" s="40">
        <f>I503*1</f>
        <v>0</v>
      </c>
      <c r="AP503" s="40">
        <f>I503*(1-1)</f>
        <v>0</v>
      </c>
      <c r="AQ503" s="17" t="s">
        <v>1260</v>
      </c>
      <c r="AV503" s="40">
        <f t="shared" si="400"/>
        <v>0</v>
      </c>
      <c r="AW503" s="40">
        <f t="shared" si="401"/>
        <v>0</v>
      </c>
      <c r="AX503" s="40">
        <f t="shared" si="402"/>
        <v>0</v>
      </c>
      <c r="AY503" s="17" t="s">
        <v>614</v>
      </c>
      <c r="AZ503" s="17" t="s">
        <v>1421</v>
      </c>
      <c r="BA503" s="11" t="s">
        <v>445</v>
      </c>
      <c r="BC503" s="40">
        <f t="shared" si="403"/>
        <v>0</v>
      </c>
      <c r="BD503" s="40">
        <f t="shared" si="404"/>
        <v>0</v>
      </c>
      <c r="BE503" s="40">
        <v>0</v>
      </c>
      <c r="BF503" s="40">
        <f>503</f>
        <v>503</v>
      </c>
      <c r="BH503" s="40">
        <f t="shared" si="405"/>
        <v>0</v>
      </c>
      <c r="BI503" s="40">
        <f t="shared" si="406"/>
        <v>0</v>
      </c>
      <c r="BJ503" s="40">
        <f t="shared" si="407"/>
        <v>0</v>
      </c>
      <c r="BK503" s="40"/>
      <c r="BL503" s="40">
        <v>18</v>
      </c>
    </row>
    <row r="504" spans="1:13" ht="13.5" customHeight="1">
      <c r="A504" s="67"/>
      <c r="B504" s="18" t="s">
        <v>114</v>
      </c>
      <c r="C504" s="93" t="s">
        <v>1212</v>
      </c>
      <c r="D504" s="94"/>
      <c r="E504" s="94"/>
      <c r="F504" s="94"/>
      <c r="G504" s="94"/>
      <c r="H504" s="94"/>
      <c r="I504" s="94"/>
      <c r="J504" s="94"/>
      <c r="K504" s="94"/>
      <c r="L504" s="94"/>
      <c r="M504" s="95"/>
    </row>
    <row r="505" spans="1:64" ht="15" customHeight="1">
      <c r="A505" s="19" t="s">
        <v>37</v>
      </c>
      <c r="B505" s="59" t="s">
        <v>1135</v>
      </c>
      <c r="C505" s="76" t="s">
        <v>808</v>
      </c>
      <c r="D505" s="76"/>
      <c r="E505" s="76"/>
      <c r="F505" s="76"/>
      <c r="G505" s="59" t="s">
        <v>1220</v>
      </c>
      <c r="H505" s="40">
        <v>6</v>
      </c>
      <c r="I505" s="40">
        <v>0</v>
      </c>
      <c r="J505" s="40">
        <f>H505*AO505</f>
        <v>0</v>
      </c>
      <c r="K505" s="40">
        <f>H505*AP505</f>
        <v>0</v>
      </c>
      <c r="L505" s="40">
        <f>H505*I505</f>
        <v>0</v>
      </c>
      <c r="M505" s="69" t="s">
        <v>868</v>
      </c>
      <c r="Z505" s="40">
        <f>IF(AQ505="5",BJ505,0)</f>
        <v>0</v>
      </c>
      <c r="AB505" s="40">
        <f>IF(AQ505="1",BH505,0)</f>
        <v>0</v>
      </c>
      <c r="AC505" s="40">
        <f>IF(AQ505="1",BI505,0)</f>
        <v>0</v>
      </c>
      <c r="AD505" s="40">
        <f>IF(AQ505="7",BH505,0)</f>
        <v>0</v>
      </c>
      <c r="AE505" s="40">
        <f>IF(AQ505="7",BI505,0)</f>
        <v>0</v>
      </c>
      <c r="AF505" s="40">
        <f>IF(AQ505="2",BH505,0)</f>
        <v>0</v>
      </c>
      <c r="AG505" s="40">
        <f>IF(AQ505="2",BI505,0)</f>
        <v>0</v>
      </c>
      <c r="AH505" s="40">
        <f>IF(AQ505="0",BJ505,0)</f>
        <v>0</v>
      </c>
      <c r="AI505" s="11" t="s">
        <v>643</v>
      </c>
      <c r="AJ505" s="40">
        <f>IF(AN505=0,L505,0)</f>
        <v>0</v>
      </c>
      <c r="AK505" s="40">
        <f>IF(AN505=15,L505,0)</f>
        <v>0</v>
      </c>
      <c r="AL505" s="40">
        <f>IF(AN505=21,L505,0)</f>
        <v>0</v>
      </c>
      <c r="AN505" s="40">
        <v>21</v>
      </c>
      <c r="AO505" s="40">
        <f>I505*0.306501547987616</f>
        <v>0</v>
      </c>
      <c r="AP505" s="40">
        <f>I505*(1-0.306501547987616)</f>
        <v>0</v>
      </c>
      <c r="AQ505" s="17" t="s">
        <v>1260</v>
      </c>
      <c r="AV505" s="40">
        <f>AW505+AX505</f>
        <v>0</v>
      </c>
      <c r="AW505" s="40">
        <f>H505*AO505</f>
        <v>0</v>
      </c>
      <c r="AX505" s="40">
        <f>H505*AP505</f>
        <v>0</v>
      </c>
      <c r="AY505" s="17" t="s">
        <v>614</v>
      </c>
      <c r="AZ505" s="17" t="s">
        <v>1421</v>
      </c>
      <c r="BA505" s="11" t="s">
        <v>445</v>
      </c>
      <c r="BC505" s="40">
        <f>AW505+AX505</f>
        <v>0</v>
      </c>
      <c r="BD505" s="40">
        <f>I505/(100-BE505)*100</f>
        <v>0</v>
      </c>
      <c r="BE505" s="40">
        <v>0</v>
      </c>
      <c r="BF505" s="40">
        <f>505</f>
        <v>505</v>
      </c>
      <c r="BH505" s="40">
        <f>H505*AO505</f>
        <v>0</v>
      </c>
      <c r="BI505" s="40">
        <f>H505*AP505</f>
        <v>0</v>
      </c>
      <c r="BJ505" s="40">
        <f>H505*I505</f>
        <v>0</v>
      </c>
      <c r="BK505" s="40"/>
      <c r="BL505" s="40">
        <v>18</v>
      </c>
    </row>
    <row r="506" spans="1:13" ht="13.5" customHeight="1">
      <c r="A506" s="67"/>
      <c r="B506" s="18" t="s">
        <v>114</v>
      </c>
      <c r="C506" s="93" t="s">
        <v>48</v>
      </c>
      <c r="D506" s="94"/>
      <c r="E506" s="94"/>
      <c r="F506" s="94"/>
      <c r="G506" s="94"/>
      <c r="H506" s="94"/>
      <c r="I506" s="94"/>
      <c r="J506" s="94"/>
      <c r="K506" s="94"/>
      <c r="L506" s="94"/>
      <c r="M506" s="95"/>
    </row>
    <row r="507" spans="1:64" ht="15" customHeight="1">
      <c r="A507" s="19" t="s">
        <v>864</v>
      </c>
      <c r="B507" s="59" t="s">
        <v>1135</v>
      </c>
      <c r="C507" s="76" t="s">
        <v>808</v>
      </c>
      <c r="D507" s="76"/>
      <c r="E507" s="76"/>
      <c r="F507" s="76"/>
      <c r="G507" s="59" t="s">
        <v>1220</v>
      </c>
      <c r="H507" s="40">
        <v>6</v>
      </c>
      <c r="I507" s="40">
        <v>0</v>
      </c>
      <c r="J507" s="40">
        <f>H507*AO507</f>
        <v>0</v>
      </c>
      <c r="K507" s="40">
        <f>H507*AP507</f>
        <v>0</v>
      </c>
      <c r="L507" s="40">
        <f>H507*I507</f>
        <v>0</v>
      </c>
      <c r="M507" s="69" t="s">
        <v>868</v>
      </c>
      <c r="Z507" s="40">
        <f>IF(AQ507="5",BJ507,0)</f>
        <v>0</v>
      </c>
      <c r="AB507" s="40">
        <f>IF(AQ507="1",BH507,0)</f>
        <v>0</v>
      </c>
      <c r="AC507" s="40">
        <f>IF(AQ507="1",BI507,0)</f>
        <v>0</v>
      </c>
      <c r="AD507" s="40">
        <f>IF(AQ507="7",BH507,0)</f>
        <v>0</v>
      </c>
      <c r="AE507" s="40">
        <f>IF(AQ507="7",BI507,0)</f>
        <v>0</v>
      </c>
      <c r="AF507" s="40">
        <f>IF(AQ507="2",BH507,0)</f>
        <v>0</v>
      </c>
      <c r="AG507" s="40">
        <f>IF(AQ507="2",BI507,0)</f>
        <v>0</v>
      </c>
      <c r="AH507" s="40">
        <f>IF(AQ507="0",BJ507,0)</f>
        <v>0</v>
      </c>
      <c r="AI507" s="11" t="s">
        <v>643</v>
      </c>
      <c r="AJ507" s="40">
        <f>IF(AN507=0,L507,0)</f>
        <v>0</v>
      </c>
      <c r="AK507" s="40">
        <f>IF(AN507=15,L507,0)</f>
        <v>0</v>
      </c>
      <c r="AL507" s="40">
        <f>IF(AN507=21,L507,0)</f>
        <v>0</v>
      </c>
      <c r="AN507" s="40">
        <v>21</v>
      </c>
      <c r="AO507" s="40">
        <f>I507*0.306501547987616</f>
        <v>0</v>
      </c>
      <c r="AP507" s="40">
        <f>I507*(1-0.306501547987616)</f>
        <v>0</v>
      </c>
      <c r="AQ507" s="17" t="s">
        <v>1260</v>
      </c>
      <c r="AV507" s="40">
        <f>AW507+AX507</f>
        <v>0</v>
      </c>
      <c r="AW507" s="40">
        <f>H507*AO507</f>
        <v>0</v>
      </c>
      <c r="AX507" s="40">
        <f>H507*AP507</f>
        <v>0</v>
      </c>
      <c r="AY507" s="17" t="s">
        <v>614</v>
      </c>
      <c r="AZ507" s="17" t="s">
        <v>1421</v>
      </c>
      <c r="BA507" s="11" t="s">
        <v>445</v>
      </c>
      <c r="BC507" s="40">
        <f>AW507+AX507</f>
        <v>0</v>
      </c>
      <c r="BD507" s="40">
        <f>I507/(100-BE507)*100</f>
        <v>0</v>
      </c>
      <c r="BE507" s="40">
        <v>0</v>
      </c>
      <c r="BF507" s="40">
        <f>507</f>
        <v>507</v>
      </c>
      <c r="BH507" s="40">
        <f>H507*AO507</f>
        <v>0</v>
      </c>
      <c r="BI507" s="40">
        <f>H507*AP507</f>
        <v>0</v>
      </c>
      <c r="BJ507" s="40">
        <f>H507*I507</f>
        <v>0</v>
      </c>
      <c r="BK507" s="40"/>
      <c r="BL507" s="40">
        <v>18</v>
      </c>
    </row>
    <row r="508" spans="1:13" ht="13.5" customHeight="1">
      <c r="A508" s="67"/>
      <c r="B508" s="18" t="s">
        <v>114</v>
      </c>
      <c r="C508" s="93" t="s">
        <v>879</v>
      </c>
      <c r="D508" s="94"/>
      <c r="E508" s="94"/>
      <c r="F508" s="94"/>
      <c r="G508" s="94"/>
      <c r="H508" s="94"/>
      <c r="I508" s="94"/>
      <c r="J508" s="94"/>
      <c r="K508" s="94"/>
      <c r="L508" s="94"/>
      <c r="M508" s="95"/>
    </row>
    <row r="509" spans="1:64" ht="15" customHeight="1">
      <c r="A509" s="19" t="s">
        <v>1123</v>
      </c>
      <c r="B509" s="59" t="s">
        <v>1135</v>
      </c>
      <c r="C509" s="76" t="s">
        <v>808</v>
      </c>
      <c r="D509" s="76"/>
      <c r="E509" s="76"/>
      <c r="F509" s="76"/>
      <c r="G509" s="59" t="s">
        <v>1220</v>
      </c>
      <c r="H509" s="40">
        <v>6</v>
      </c>
      <c r="I509" s="40">
        <v>0</v>
      </c>
      <c r="J509" s="40">
        <f>H509*AO509</f>
        <v>0</v>
      </c>
      <c r="K509" s="40">
        <f>H509*AP509</f>
        <v>0</v>
      </c>
      <c r="L509" s="40">
        <f>H509*I509</f>
        <v>0</v>
      </c>
      <c r="M509" s="69" t="s">
        <v>868</v>
      </c>
      <c r="Z509" s="40">
        <f>IF(AQ509="5",BJ509,0)</f>
        <v>0</v>
      </c>
      <c r="AB509" s="40">
        <f>IF(AQ509="1",BH509,0)</f>
        <v>0</v>
      </c>
      <c r="AC509" s="40">
        <f>IF(AQ509="1",BI509,0)</f>
        <v>0</v>
      </c>
      <c r="AD509" s="40">
        <f>IF(AQ509="7",BH509,0)</f>
        <v>0</v>
      </c>
      <c r="AE509" s="40">
        <f>IF(AQ509="7",BI509,0)</f>
        <v>0</v>
      </c>
      <c r="AF509" s="40">
        <f>IF(AQ509="2",BH509,0)</f>
        <v>0</v>
      </c>
      <c r="AG509" s="40">
        <f>IF(AQ509="2",BI509,0)</f>
        <v>0</v>
      </c>
      <c r="AH509" s="40">
        <f>IF(AQ509="0",BJ509,0)</f>
        <v>0</v>
      </c>
      <c r="AI509" s="11" t="s">
        <v>643</v>
      </c>
      <c r="AJ509" s="40">
        <f>IF(AN509=0,L509,0)</f>
        <v>0</v>
      </c>
      <c r="AK509" s="40">
        <f>IF(AN509=15,L509,0)</f>
        <v>0</v>
      </c>
      <c r="AL509" s="40">
        <f>IF(AN509=21,L509,0)</f>
        <v>0</v>
      </c>
      <c r="AN509" s="40">
        <v>21</v>
      </c>
      <c r="AO509" s="40">
        <f>I509*0.306501547987616</f>
        <v>0</v>
      </c>
      <c r="AP509" s="40">
        <f>I509*(1-0.306501547987616)</f>
        <v>0</v>
      </c>
      <c r="AQ509" s="17" t="s">
        <v>1260</v>
      </c>
      <c r="AV509" s="40">
        <f>AW509+AX509</f>
        <v>0</v>
      </c>
      <c r="AW509" s="40">
        <f>H509*AO509</f>
        <v>0</v>
      </c>
      <c r="AX509" s="40">
        <f>H509*AP509</f>
        <v>0</v>
      </c>
      <c r="AY509" s="17" t="s">
        <v>614</v>
      </c>
      <c r="AZ509" s="17" t="s">
        <v>1421</v>
      </c>
      <c r="BA509" s="11" t="s">
        <v>445</v>
      </c>
      <c r="BC509" s="40">
        <f>AW509+AX509</f>
        <v>0</v>
      </c>
      <c r="BD509" s="40">
        <f>I509/(100-BE509)*100</f>
        <v>0</v>
      </c>
      <c r="BE509" s="40">
        <v>0</v>
      </c>
      <c r="BF509" s="40">
        <f>509</f>
        <v>509</v>
      </c>
      <c r="BH509" s="40">
        <f>H509*AO509</f>
        <v>0</v>
      </c>
      <c r="BI509" s="40">
        <f>H509*AP509</f>
        <v>0</v>
      </c>
      <c r="BJ509" s="40">
        <f>H509*I509</f>
        <v>0</v>
      </c>
      <c r="BK509" s="40"/>
      <c r="BL509" s="40">
        <v>18</v>
      </c>
    </row>
    <row r="510" spans="1:13" ht="13.5" customHeight="1">
      <c r="A510" s="67"/>
      <c r="B510" s="18" t="s">
        <v>114</v>
      </c>
      <c r="C510" s="93" t="s">
        <v>292</v>
      </c>
      <c r="D510" s="94"/>
      <c r="E510" s="94"/>
      <c r="F510" s="94"/>
      <c r="G510" s="94"/>
      <c r="H510" s="94"/>
      <c r="I510" s="94"/>
      <c r="J510" s="94"/>
      <c r="K510" s="94"/>
      <c r="L510" s="94"/>
      <c r="M510" s="95"/>
    </row>
    <row r="511" spans="1:64" ht="15" customHeight="1">
      <c r="A511" s="19" t="s">
        <v>256</v>
      </c>
      <c r="B511" s="59" t="s">
        <v>943</v>
      </c>
      <c r="C511" s="76" t="s">
        <v>107</v>
      </c>
      <c r="D511" s="76"/>
      <c r="E511" s="76"/>
      <c r="F511" s="76"/>
      <c r="G511" s="59" t="s">
        <v>1220</v>
      </c>
      <c r="H511" s="40">
        <v>24</v>
      </c>
      <c r="I511" s="40">
        <v>0</v>
      </c>
      <c r="J511" s="40">
        <f>H511*AO511</f>
        <v>0</v>
      </c>
      <c r="K511" s="40">
        <f>H511*AP511</f>
        <v>0</v>
      </c>
      <c r="L511" s="40">
        <f>H511*I511</f>
        <v>0</v>
      </c>
      <c r="M511" s="69" t="s">
        <v>868</v>
      </c>
      <c r="Z511" s="40">
        <f>IF(AQ511="5",BJ511,0)</f>
        <v>0</v>
      </c>
      <c r="AB511" s="40">
        <f>IF(AQ511="1",BH511,0)</f>
        <v>0</v>
      </c>
      <c r="AC511" s="40">
        <f>IF(AQ511="1",BI511,0)</f>
        <v>0</v>
      </c>
      <c r="AD511" s="40">
        <f>IF(AQ511="7",BH511,0)</f>
        <v>0</v>
      </c>
      <c r="AE511" s="40">
        <f>IF(AQ511="7",BI511,0)</f>
        <v>0</v>
      </c>
      <c r="AF511" s="40">
        <f>IF(AQ511="2",BH511,0)</f>
        <v>0</v>
      </c>
      <c r="AG511" s="40">
        <f>IF(AQ511="2",BI511,0)</f>
        <v>0</v>
      </c>
      <c r="AH511" s="40">
        <f>IF(AQ511="0",BJ511,0)</f>
        <v>0</v>
      </c>
      <c r="AI511" s="11" t="s">
        <v>643</v>
      </c>
      <c r="AJ511" s="40">
        <f>IF(AN511=0,L511,0)</f>
        <v>0</v>
      </c>
      <c r="AK511" s="40">
        <f>IF(AN511=15,L511,0)</f>
        <v>0</v>
      </c>
      <c r="AL511" s="40">
        <f>IF(AN511=21,L511,0)</f>
        <v>0</v>
      </c>
      <c r="AN511" s="40">
        <v>21</v>
      </c>
      <c r="AO511" s="40">
        <f>I511*0</f>
        <v>0</v>
      </c>
      <c r="AP511" s="40">
        <f>I511*(1-0)</f>
        <v>0</v>
      </c>
      <c r="AQ511" s="17" t="s">
        <v>1260</v>
      </c>
      <c r="AV511" s="40">
        <f>AW511+AX511</f>
        <v>0</v>
      </c>
      <c r="AW511" s="40">
        <f>H511*AO511</f>
        <v>0</v>
      </c>
      <c r="AX511" s="40">
        <f>H511*AP511</f>
        <v>0</v>
      </c>
      <c r="AY511" s="17" t="s">
        <v>614</v>
      </c>
      <c r="AZ511" s="17" t="s">
        <v>1421</v>
      </c>
      <c r="BA511" s="11" t="s">
        <v>445</v>
      </c>
      <c r="BC511" s="40">
        <f>AW511+AX511</f>
        <v>0</v>
      </c>
      <c r="BD511" s="40">
        <f>I511/(100-BE511)*100</f>
        <v>0</v>
      </c>
      <c r="BE511" s="40">
        <v>0</v>
      </c>
      <c r="BF511" s="40">
        <f>511</f>
        <v>511</v>
      </c>
      <c r="BH511" s="40">
        <f>H511*AO511</f>
        <v>0</v>
      </c>
      <c r="BI511" s="40">
        <f>H511*AP511</f>
        <v>0</v>
      </c>
      <c r="BJ511" s="40">
        <f>H511*I511</f>
        <v>0</v>
      </c>
      <c r="BK511" s="40"/>
      <c r="BL511" s="40">
        <v>18</v>
      </c>
    </row>
    <row r="512" spans="1:64" ht="15" customHeight="1">
      <c r="A512" s="19" t="s">
        <v>1097</v>
      </c>
      <c r="B512" s="59" t="s">
        <v>709</v>
      </c>
      <c r="C512" s="76" t="s">
        <v>508</v>
      </c>
      <c r="D512" s="76"/>
      <c r="E512" s="76"/>
      <c r="F512" s="76"/>
      <c r="G512" s="59" t="s">
        <v>484</v>
      </c>
      <c r="H512" s="40">
        <v>30</v>
      </c>
      <c r="I512" s="40">
        <v>0</v>
      </c>
      <c r="J512" s="40">
        <f>H512*AO512</f>
        <v>0</v>
      </c>
      <c r="K512" s="40">
        <f>H512*AP512</f>
        <v>0</v>
      </c>
      <c r="L512" s="40">
        <f>H512*I512</f>
        <v>0</v>
      </c>
      <c r="M512" s="69" t="s">
        <v>868</v>
      </c>
      <c r="Z512" s="40">
        <f>IF(AQ512="5",BJ512,0)</f>
        <v>0</v>
      </c>
      <c r="AB512" s="40">
        <f>IF(AQ512="1",BH512,0)</f>
        <v>0</v>
      </c>
      <c r="AC512" s="40">
        <f>IF(AQ512="1",BI512,0)</f>
        <v>0</v>
      </c>
      <c r="AD512" s="40">
        <f>IF(AQ512="7",BH512,0)</f>
        <v>0</v>
      </c>
      <c r="AE512" s="40">
        <f>IF(AQ512="7",BI512,0)</f>
        <v>0</v>
      </c>
      <c r="AF512" s="40">
        <f>IF(AQ512="2",BH512,0)</f>
        <v>0</v>
      </c>
      <c r="AG512" s="40">
        <f>IF(AQ512="2",BI512,0)</f>
        <v>0</v>
      </c>
      <c r="AH512" s="40">
        <f>IF(AQ512="0",BJ512,0)</f>
        <v>0</v>
      </c>
      <c r="AI512" s="11" t="s">
        <v>643</v>
      </c>
      <c r="AJ512" s="40">
        <f>IF(AN512=0,L512,0)</f>
        <v>0</v>
      </c>
      <c r="AK512" s="40">
        <f>IF(AN512=15,L512,0)</f>
        <v>0</v>
      </c>
      <c r="AL512" s="40">
        <f>IF(AN512=21,L512,0)</f>
        <v>0</v>
      </c>
      <c r="AN512" s="40">
        <v>21</v>
      </c>
      <c r="AO512" s="40">
        <f>I512*1</f>
        <v>0</v>
      </c>
      <c r="AP512" s="40">
        <f>I512*(1-1)</f>
        <v>0</v>
      </c>
      <c r="AQ512" s="17" t="s">
        <v>1260</v>
      </c>
      <c r="AV512" s="40">
        <f>AW512+AX512</f>
        <v>0</v>
      </c>
      <c r="AW512" s="40">
        <f>H512*AO512</f>
        <v>0</v>
      </c>
      <c r="AX512" s="40">
        <f>H512*AP512</f>
        <v>0</v>
      </c>
      <c r="AY512" s="17" t="s">
        <v>614</v>
      </c>
      <c r="AZ512" s="17" t="s">
        <v>1421</v>
      </c>
      <c r="BA512" s="11" t="s">
        <v>445</v>
      </c>
      <c r="BC512" s="40">
        <f>AW512+AX512</f>
        <v>0</v>
      </c>
      <c r="BD512" s="40">
        <f>I512/(100-BE512)*100</f>
        <v>0</v>
      </c>
      <c r="BE512" s="40">
        <v>0</v>
      </c>
      <c r="BF512" s="40">
        <f>512</f>
        <v>512</v>
      </c>
      <c r="BH512" s="40">
        <f>H512*AO512</f>
        <v>0</v>
      </c>
      <c r="BI512" s="40">
        <f>H512*AP512</f>
        <v>0</v>
      </c>
      <c r="BJ512" s="40">
        <f>H512*I512</f>
        <v>0</v>
      </c>
      <c r="BK512" s="40"/>
      <c r="BL512" s="40">
        <v>18</v>
      </c>
    </row>
    <row r="513" spans="1:64" ht="15" customHeight="1">
      <c r="A513" s="19" t="s">
        <v>1295</v>
      </c>
      <c r="B513" s="59" t="s">
        <v>1135</v>
      </c>
      <c r="C513" s="76" t="s">
        <v>808</v>
      </c>
      <c r="D513" s="76"/>
      <c r="E513" s="76"/>
      <c r="F513" s="76"/>
      <c r="G513" s="59" t="s">
        <v>1220</v>
      </c>
      <c r="H513" s="40">
        <v>6</v>
      </c>
      <c r="I513" s="40">
        <v>0</v>
      </c>
      <c r="J513" s="40">
        <f>H513*AO513</f>
        <v>0</v>
      </c>
      <c r="K513" s="40">
        <f>H513*AP513</f>
        <v>0</v>
      </c>
      <c r="L513" s="40">
        <f>H513*I513</f>
        <v>0</v>
      </c>
      <c r="M513" s="69" t="s">
        <v>868</v>
      </c>
      <c r="Z513" s="40">
        <f>IF(AQ513="5",BJ513,0)</f>
        <v>0</v>
      </c>
      <c r="AB513" s="40">
        <f>IF(AQ513="1",BH513,0)</f>
        <v>0</v>
      </c>
      <c r="AC513" s="40">
        <f>IF(AQ513="1",BI513,0)</f>
        <v>0</v>
      </c>
      <c r="AD513" s="40">
        <f>IF(AQ513="7",BH513,0)</f>
        <v>0</v>
      </c>
      <c r="AE513" s="40">
        <f>IF(AQ513="7",BI513,0)</f>
        <v>0</v>
      </c>
      <c r="AF513" s="40">
        <f>IF(AQ513="2",BH513,0)</f>
        <v>0</v>
      </c>
      <c r="AG513" s="40">
        <f>IF(AQ513="2",BI513,0)</f>
        <v>0</v>
      </c>
      <c r="AH513" s="40">
        <f>IF(AQ513="0",BJ513,0)</f>
        <v>0</v>
      </c>
      <c r="AI513" s="11" t="s">
        <v>643</v>
      </c>
      <c r="AJ513" s="40">
        <f>IF(AN513=0,L513,0)</f>
        <v>0</v>
      </c>
      <c r="AK513" s="40">
        <f>IF(AN513=15,L513,0)</f>
        <v>0</v>
      </c>
      <c r="AL513" s="40">
        <f>IF(AN513=21,L513,0)</f>
        <v>0</v>
      </c>
      <c r="AN513" s="40">
        <v>21</v>
      </c>
      <c r="AO513" s="40">
        <f>I513*0.306501547987616</f>
        <v>0</v>
      </c>
      <c r="AP513" s="40">
        <f>I513*(1-0.306501547987616)</f>
        <v>0</v>
      </c>
      <c r="AQ513" s="17" t="s">
        <v>1260</v>
      </c>
      <c r="AV513" s="40">
        <f>AW513+AX513</f>
        <v>0</v>
      </c>
      <c r="AW513" s="40">
        <f>H513*AO513</f>
        <v>0</v>
      </c>
      <c r="AX513" s="40">
        <f>H513*AP513</f>
        <v>0</v>
      </c>
      <c r="AY513" s="17" t="s">
        <v>614</v>
      </c>
      <c r="AZ513" s="17" t="s">
        <v>1421</v>
      </c>
      <c r="BA513" s="11" t="s">
        <v>445</v>
      </c>
      <c r="BC513" s="40">
        <f>AW513+AX513</f>
        <v>0</v>
      </c>
      <c r="BD513" s="40">
        <f>I513/(100-BE513)*100</f>
        <v>0</v>
      </c>
      <c r="BE513" s="40">
        <v>0</v>
      </c>
      <c r="BF513" s="40">
        <f>513</f>
        <v>513</v>
      </c>
      <c r="BH513" s="40">
        <f>H513*AO513</f>
        <v>0</v>
      </c>
      <c r="BI513" s="40">
        <f>H513*AP513</f>
        <v>0</v>
      </c>
      <c r="BJ513" s="40">
        <f>H513*I513</f>
        <v>0</v>
      </c>
      <c r="BK513" s="40"/>
      <c r="BL513" s="40">
        <v>18</v>
      </c>
    </row>
    <row r="514" spans="1:13" ht="13.5" customHeight="1">
      <c r="A514" s="67"/>
      <c r="B514" s="18" t="s">
        <v>114</v>
      </c>
      <c r="C514" s="93" t="s">
        <v>434</v>
      </c>
      <c r="D514" s="94"/>
      <c r="E514" s="94"/>
      <c r="F514" s="94"/>
      <c r="G514" s="94"/>
      <c r="H514" s="94"/>
      <c r="I514" s="94"/>
      <c r="J514" s="94"/>
      <c r="K514" s="94"/>
      <c r="L514" s="94"/>
      <c r="M514" s="95"/>
    </row>
    <row r="515" spans="1:47" ht="15" customHeight="1">
      <c r="A515" s="24" t="s">
        <v>878</v>
      </c>
      <c r="B515" s="66" t="s">
        <v>897</v>
      </c>
      <c r="C515" s="92" t="s">
        <v>425</v>
      </c>
      <c r="D515" s="92"/>
      <c r="E515" s="92"/>
      <c r="F515" s="92"/>
      <c r="G515" s="3" t="s">
        <v>1172</v>
      </c>
      <c r="H515" s="3" t="s">
        <v>1172</v>
      </c>
      <c r="I515" s="3" t="s">
        <v>1172</v>
      </c>
      <c r="J515" s="63">
        <f>SUM(J516:J517)</f>
        <v>0</v>
      </c>
      <c r="K515" s="63">
        <f>SUM(K516:K517)</f>
        <v>0</v>
      </c>
      <c r="L515" s="63">
        <f>SUM(L516:L517)</f>
        <v>0</v>
      </c>
      <c r="M515" s="4" t="s">
        <v>878</v>
      </c>
      <c r="AI515" s="11" t="s">
        <v>643</v>
      </c>
      <c r="AS515" s="63">
        <f>SUM(AJ516:AJ517)</f>
        <v>0</v>
      </c>
      <c r="AT515" s="63">
        <f>SUM(AK516:AK517)</f>
        <v>0</v>
      </c>
      <c r="AU515" s="63">
        <f>SUM(AL516:AL517)</f>
        <v>0</v>
      </c>
    </row>
    <row r="516" spans="1:64" ht="15" customHeight="1">
      <c r="A516" s="19" t="s">
        <v>1027</v>
      </c>
      <c r="B516" s="59" t="s">
        <v>495</v>
      </c>
      <c r="C516" s="76" t="s">
        <v>1331</v>
      </c>
      <c r="D516" s="76"/>
      <c r="E516" s="76"/>
      <c r="F516" s="76"/>
      <c r="G516" s="59" t="s">
        <v>312</v>
      </c>
      <c r="H516" s="40">
        <v>48</v>
      </c>
      <c r="I516" s="40">
        <v>0</v>
      </c>
      <c r="J516" s="40">
        <f>H516*AO516</f>
        <v>0</v>
      </c>
      <c r="K516" s="40">
        <f>H516*AP516</f>
        <v>0</v>
      </c>
      <c r="L516" s="40">
        <f>H516*I516</f>
        <v>0</v>
      </c>
      <c r="M516" s="69" t="s">
        <v>868</v>
      </c>
      <c r="Z516" s="40">
        <f>IF(AQ516="5",BJ516,0)</f>
        <v>0</v>
      </c>
      <c r="AB516" s="40">
        <f>IF(AQ516="1",BH516,0)</f>
        <v>0</v>
      </c>
      <c r="AC516" s="40">
        <f>IF(AQ516="1",BI516,0)</f>
        <v>0</v>
      </c>
      <c r="AD516" s="40">
        <f>IF(AQ516="7",BH516,0)</f>
        <v>0</v>
      </c>
      <c r="AE516" s="40">
        <f>IF(AQ516="7",BI516,0)</f>
        <v>0</v>
      </c>
      <c r="AF516" s="40">
        <f>IF(AQ516="2",BH516,0)</f>
        <v>0</v>
      </c>
      <c r="AG516" s="40">
        <f>IF(AQ516="2",BI516,0)</f>
        <v>0</v>
      </c>
      <c r="AH516" s="40">
        <f>IF(AQ516="0",BJ516,0)</f>
        <v>0</v>
      </c>
      <c r="AI516" s="11" t="s">
        <v>643</v>
      </c>
      <c r="AJ516" s="40">
        <f>IF(AN516=0,L516,0)</f>
        <v>0</v>
      </c>
      <c r="AK516" s="40">
        <f>IF(AN516=15,L516,0)</f>
        <v>0</v>
      </c>
      <c r="AL516" s="40">
        <f>IF(AN516=21,L516,0)</f>
        <v>0</v>
      </c>
      <c r="AN516" s="40">
        <v>21</v>
      </c>
      <c r="AO516" s="40">
        <f>I516*0</f>
        <v>0</v>
      </c>
      <c r="AP516" s="40">
        <f>I516*(1-0)</f>
        <v>0</v>
      </c>
      <c r="AQ516" s="17" t="s">
        <v>1260</v>
      </c>
      <c r="AV516" s="40">
        <f>AW516+AX516</f>
        <v>0</v>
      </c>
      <c r="AW516" s="40">
        <f>H516*AO516</f>
        <v>0</v>
      </c>
      <c r="AX516" s="40">
        <f>H516*AP516</f>
        <v>0</v>
      </c>
      <c r="AY516" s="17" t="s">
        <v>780</v>
      </c>
      <c r="AZ516" s="17" t="s">
        <v>625</v>
      </c>
      <c r="BA516" s="11" t="s">
        <v>445</v>
      </c>
      <c r="BC516" s="40">
        <f>AW516+AX516</f>
        <v>0</v>
      </c>
      <c r="BD516" s="40">
        <f>I516/(100-BE516)*100</f>
        <v>0</v>
      </c>
      <c r="BE516" s="40">
        <v>0</v>
      </c>
      <c r="BF516" s="40">
        <f>516</f>
        <v>516</v>
      </c>
      <c r="BH516" s="40">
        <f>H516*AO516</f>
        <v>0</v>
      </c>
      <c r="BI516" s="40">
        <f>H516*AP516</f>
        <v>0</v>
      </c>
      <c r="BJ516" s="40">
        <f>H516*I516</f>
        <v>0</v>
      </c>
      <c r="BK516" s="40"/>
      <c r="BL516" s="40">
        <v>21</v>
      </c>
    </row>
    <row r="517" spans="1:64" ht="15" customHeight="1">
      <c r="A517" s="19" t="s">
        <v>429</v>
      </c>
      <c r="B517" s="59" t="s">
        <v>427</v>
      </c>
      <c r="C517" s="76" t="s">
        <v>1089</v>
      </c>
      <c r="D517" s="76"/>
      <c r="E517" s="76"/>
      <c r="F517" s="76"/>
      <c r="G517" s="59" t="s">
        <v>1243</v>
      </c>
      <c r="H517" s="40">
        <v>26.5</v>
      </c>
      <c r="I517" s="40">
        <v>0</v>
      </c>
      <c r="J517" s="40">
        <f>H517*AO517</f>
        <v>0</v>
      </c>
      <c r="K517" s="40">
        <f>H517*AP517</f>
        <v>0</v>
      </c>
      <c r="L517" s="40">
        <f>H517*I517</f>
        <v>0</v>
      </c>
      <c r="M517" s="69" t="s">
        <v>868</v>
      </c>
      <c r="Z517" s="40">
        <f>IF(AQ517="5",BJ517,0)</f>
        <v>0</v>
      </c>
      <c r="AB517" s="40">
        <f>IF(AQ517="1",BH517,0)</f>
        <v>0</v>
      </c>
      <c r="AC517" s="40">
        <f>IF(AQ517="1",BI517,0)</f>
        <v>0</v>
      </c>
      <c r="AD517" s="40">
        <f>IF(AQ517="7",BH517,0)</f>
        <v>0</v>
      </c>
      <c r="AE517" s="40">
        <f>IF(AQ517="7",BI517,0)</f>
        <v>0</v>
      </c>
      <c r="AF517" s="40">
        <f>IF(AQ517="2",BH517,0)</f>
        <v>0</v>
      </c>
      <c r="AG517" s="40">
        <f>IF(AQ517="2",BI517,0)</f>
        <v>0</v>
      </c>
      <c r="AH517" s="40">
        <f>IF(AQ517="0",BJ517,0)</f>
        <v>0</v>
      </c>
      <c r="AI517" s="11" t="s">
        <v>643</v>
      </c>
      <c r="AJ517" s="40">
        <f>IF(AN517=0,L517,0)</f>
        <v>0</v>
      </c>
      <c r="AK517" s="40">
        <f>IF(AN517=15,L517,0)</f>
        <v>0</v>
      </c>
      <c r="AL517" s="40">
        <f>IF(AN517=21,L517,0)</f>
        <v>0</v>
      </c>
      <c r="AN517" s="40">
        <v>21</v>
      </c>
      <c r="AO517" s="40">
        <f>I517*0.0268707482993197</f>
        <v>0</v>
      </c>
      <c r="AP517" s="40">
        <f>I517*(1-0.0268707482993197)</f>
        <v>0</v>
      </c>
      <c r="AQ517" s="17" t="s">
        <v>1260</v>
      </c>
      <c r="AV517" s="40">
        <f>AW517+AX517</f>
        <v>0</v>
      </c>
      <c r="AW517" s="40">
        <f>H517*AO517</f>
        <v>0</v>
      </c>
      <c r="AX517" s="40">
        <f>H517*AP517</f>
        <v>0</v>
      </c>
      <c r="AY517" s="17" t="s">
        <v>780</v>
      </c>
      <c r="AZ517" s="17" t="s">
        <v>625</v>
      </c>
      <c r="BA517" s="11" t="s">
        <v>445</v>
      </c>
      <c r="BC517" s="40">
        <f>AW517+AX517</f>
        <v>0</v>
      </c>
      <c r="BD517" s="40">
        <f>I517/(100-BE517)*100</f>
        <v>0</v>
      </c>
      <c r="BE517" s="40">
        <v>0</v>
      </c>
      <c r="BF517" s="40">
        <f>517</f>
        <v>517</v>
      </c>
      <c r="BH517" s="40">
        <f>H517*AO517</f>
        <v>0</v>
      </c>
      <c r="BI517" s="40">
        <f>H517*AP517</f>
        <v>0</v>
      </c>
      <c r="BJ517" s="40">
        <f>H517*I517</f>
        <v>0</v>
      </c>
      <c r="BK517" s="40"/>
      <c r="BL517" s="40">
        <v>21</v>
      </c>
    </row>
    <row r="518" spans="1:47" ht="15" customHeight="1">
      <c r="A518" s="24" t="s">
        <v>878</v>
      </c>
      <c r="B518" s="66" t="s">
        <v>233</v>
      </c>
      <c r="C518" s="92" t="s">
        <v>672</v>
      </c>
      <c r="D518" s="92"/>
      <c r="E518" s="92"/>
      <c r="F518" s="92"/>
      <c r="G518" s="3" t="s">
        <v>1172</v>
      </c>
      <c r="H518" s="3" t="s">
        <v>1172</v>
      </c>
      <c r="I518" s="3" t="s">
        <v>1172</v>
      </c>
      <c r="J518" s="63">
        <f>SUM(J519:J519)</f>
        <v>0</v>
      </c>
      <c r="K518" s="63">
        <f>SUM(K519:K519)</f>
        <v>0</v>
      </c>
      <c r="L518" s="63">
        <f>SUM(L519:L519)</f>
        <v>0</v>
      </c>
      <c r="M518" s="4" t="s">
        <v>878</v>
      </c>
      <c r="AI518" s="11" t="s">
        <v>643</v>
      </c>
      <c r="AS518" s="63">
        <f>SUM(AJ519:AJ519)</f>
        <v>0</v>
      </c>
      <c r="AT518" s="63">
        <f>SUM(AK519:AK519)</f>
        <v>0</v>
      </c>
      <c r="AU518" s="63">
        <f>SUM(AL519:AL519)</f>
        <v>0</v>
      </c>
    </row>
    <row r="519" spans="1:64" ht="15" customHeight="1">
      <c r="A519" s="19" t="s">
        <v>1183</v>
      </c>
      <c r="B519" s="59" t="s">
        <v>705</v>
      </c>
      <c r="C519" s="76" t="s">
        <v>635</v>
      </c>
      <c r="D519" s="76"/>
      <c r="E519" s="76"/>
      <c r="F519" s="76"/>
      <c r="G519" s="59" t="s">
        <v>733</v>
      </c>
      <c r="H519" s="40">
        <v>10</v>
      </c>
      <c r="I519" s="40">
        <v>0</v>
      </c>
      <c r="J519" s="40">
        <f>H519*AO519</f>
        <v>0</v>
      </c>
      <c r="K519" s="40">
        <f>H519*AP519</f>
        <v>0</v>
      </c>
      <c r="L519" s="40">
        <f>H519*I519</f>
        <v>0</v>
      </c>
      <c r="M519" s="69" t="s">
        <v>868</v>
      </c>
      <c r="Z519" s="40">
        <f>IF(AQ519="5",BJ519,0)</f>
        <v>0</v>
      </c>
      <c r="AB519" s="40">
        <f>IF(AQ519="1",BH519,0)</f>
        <v>0</v>
      </c>
      <c r="AC519" s="40">
        <f>IF(AQ519="1",BI519,0)</f>
        <v>0</v>
      </c>
      <c r="AD519" s="40">
        <f>IF(AQ519="7",BH519,0)</f>
        <v>0</v>
      </c>
      <c r="AE519" s="40">
        <f>IF(AQ519="7",BI519,0)</f>
        <v>0</v>
      </c>
      <c r="AF519" s="40">
        <f>IF(AQ519="2",BH519,0)</f>
        <v>0</v>
      </c>
      <c r="AG519" s="40">
        <f>IF(AQ519="2",BI519,0)</f>
        <v>0</v>
      </c>
      <c r="AH519" s="40">
        <f>IF(AQ519="0",BJ519,0)</f>
        <v>0</v>
      </c>
      <c r="AI519" s="11" t="s">
        <v>643</v>
      </c>
      <c r="AJ519" s="40">
        <f>IF(AN519=0,L519,0)</f>
        <v>0</v>
      </c>
      <c r="AK519" s="40">
        <f>IF(AN519=15,L519,0)</f>
        <v>0</v>
      </c>
      <c r="AL519" s="40">
        <f>IF(AN519=21,L519,0)</f>
        <v>0</v>
      </c>
      <c r="AN519" s="40">
        <v>21</v>
      </c>
      <c r="AO519" s="40">
        <f>I519*0</f>
        <v>0</v>
      </c>
      <c r="AP519" s="40">
        <f>I519*(1-0)</f>
        <v>0</v>
      </c>
      <c r="AQ519" s="17" t="s">
        <v>1260</v>
      </c>
      <c r="AV519" s="40">
        <f>AW519+AX519</f>
        <v>0</v>
      </c>
      <c r="AW519" s="40">
        <f>H519*AO519</f>
        <v>0</v>
      </c>
      <c r="AX519" s="40">
        <f>H519*AP519</f>
        <v>0</v>
      </c>
      <c r="AY519" s="17" t="s">
        <v>717</v>
      </c>
      <c r="AZ519" s="17" t="s">
        <v>625</v>
      </c>
      <c r="BA519" s="11" t="s">
        <v>445</v>
      </c>
      <c r="BC519" s="40">
        <f>AW519+AX519</f>
        <v>0</v>
      </c>
      <c r="BD519" s="40">
        <f>I519/(100-BE519)*100</f>
        <v>0</v>
      </c>
      <c r="BE519" s="40">
        <v>0</v>
      </c>
      <c r="BF519" s="40">
        <f>519</f>
        <v>519</v>
      </c>
      <c r="BH519" s="40">
        <f>H519*AO519</f>
        <v>0</v>
      </c>
      <c r="BI519" s="40">
        <f>H519*AP519</f>
        <v>0</v>
      </c>
      <c r="BJ519" s="40">
        <f>H519*I519</f>
        <v>0</v>
      </c>
      <c r="BK519" s="40"/>
      <c r="BL519" s="40">
        <v>231</v>
      </c>
    </row>
    <row r="520" spans="1:47" ht="15" customHeight="1">
      <c r="A520" s="24" t="s">
        <v>878</v>
      </c>
      <c r="B520" s="66" t="s">
        <v>1338</v>
      </c>
      <c r="C520" s="92" t="s">
        <v>823</v>
      </c>
      <c r="D520" s="92"/>
      <c r="E520" s="92"/>
      <c r="F520" s="92"/>
      <c r="G520" s="3" t="s">
        <v>1172</v>
      </c>
      <c r="H520" s="3" t="s">
        <v>1172</v>
      </c>
      <c r="I520" s="3" t="s">
        <v>1172</v>
      </c>
      <c r="J520" s="63">
        <f>SUM(J521:J521)</f>
        <v>0</v>
      </c>
      <c r="K520" s="63">
        <f>SUM(K521:K521)</f>
        <v>0</v>
      </c>
      <c r="L520" s="63">
        <f>SUM(L521:L521)</f>
        <v>0</v>
      </c>
      <c r="M520" s="4" t="s">
        <v>878</v>
      </c>
      <c r="AI520" s="11" t="s">
        <v>643</v>
      </c>
      <c r="AS520" s="63">
        <f>SUM(AJ521:AJ521)</f>
        <v>0</v>
      </c>
      <c r="AT520" s="63">
        <f>SUM(AK521:AK521)</f>
        <v>0</v>
      </c>
      <c r="AU520" s="63">
        <f>SUM(AL521:AL521)</f>
        <v>0</v>
      </c>
    </row>
    <row r="521" spans="1:64" ht="15" customHeight="1">
      <c r="A521" s="19" t="s">
        <v>1122</v>
      </c>
      <c r="B521" s="59" t="s">
        <v>118</v>
      </c>
      <c r="C521" s="76" t="s">
        <v>1264</v>
      </c>
      <c r="D521" s="76"/>
      <c r="E521" s="76"/>
      <c r="F521" s="76"/>
      <c r="G521" s="59" t="s">
        <v>312</v>
      </c>
      <c r="H521" s="40">
        <v>3</v>
      </c>
      <c r="I521" s="40">
        <v>0</v>
      </c>
      <c r="J521" s="40">
        <f>H521*AO521</f>
        <v>0</v>
      </c>
      <c r="K521" s="40">
        <f>H521*AP521</f>
        <v>0</v>
      </c>
      <c r="L521" s="40">
        <f>H521*I521</f>
        <v>0</v>
      </c>
      <c r="M521" s="69" t="s">
        <v>868</v>
      </c>
      <c r="Z521" s="40">
        <f>IF(AQ521="5",BJ521,0)</f>
        <v>0</v>
      </c>
      <c r="AB521" s="40">
        <f>IF(AQ521="1",BH521,0)</f>
        <v>0</v>
      </c>
      <c r="AC521" s="40">
        <f>IF(AQ521="1",BI521,0)</f>
        <v>0</v>
      </c>
      <c r="AD521" s="40">
        <f>IF(AQ521="7",BH521,0)</f>
        <v>0</v>
      </c>
      <c r="AE521" s="40">
        <f>IF(AQ521="7",BI521,0)</f>
        <v>0</v>
      </c>
      <c r="AF521" s="40">
        <f>IF(AQ521="2",BH521,0)</f>
        <v>0</v>
      </c>
      <c r="AG521" s="40">
        <f>IF(AQ521="2",BI521,0)</f>
        <v>0</v>
      </c>
      <c r="AH521" s="40">
        <f>IF(AQ521="0",BJ521,0)</f>
        <v>0</v>
      </c>
      <c r="AI521" s="11" t="s">
        <v>643</v>
      </c>
      <c r="AJ521" s="40">
        <f>IF(AN521=0,L521,0)</f>
        <v>0</v>
      </c>
      <c r="AK521" s="40">
        <f>IF(AN521=15,L521,0)</f>
        <v>0</v>
      </c>
      <c r="AL521" s="40">
        <f>IF(AN521=21,L521,0)</f>
        <v>0</v>
      </c>
      <c r="AN521" s="40">
        <v>21</v>
      </c>
      <c r="AO521" s="40">
        <f>I521*0.774077368421053</f>
        <v>0</v>
      </c>
      <c r="AP521" s="40">
        <f>I521*(1-0.774077368421053)</f>
        <v>0</v>
      </c>
      <c r="AQ521" s="17" t="s">
        <v>1260</v>
      </c>
      <c r="AV521" s="40">
        <f>AW521+AX521</f>
        <v>0</v>
      </c>
      <c r="AW521" s="40">
        <f>H521*AO521</f>
        <v>0</v>
      </c>
      <c r="AX521" s="40">
        <f>H521*AP521</f>
        <v>0</v>
      </c>
      <c r="AY521" s="17" t="s">
        <v>106</v>
      </c>
      <c r="AZ521" s="17" t="s">
        <v>336</v>
      </c>
      <c r="BA521" s="11" t="s">
        <v>445</v>
      </c>
      <c r="BC521" s="40">
        <f>AW521+AX521</f>
        <v>0</v>
      </c>
      <c r="BD521" s="40">
        <f>I521/(100-BE521)*100</f>
        <v>0</v>
      </c>
      <c r="BE521" s="40">
        <v>0</v>
      </c>
      <c r="BF521" s="40">
        <f>521</f>
        <v>521</v>
      </c>
      <c r="BH521" s="40">
        <f>H521*AO521</f>
        <v>0</v>
      </c>
      <c r="BI521" s="40">
        <f>H521*AP521</f>
        <v>0</v>
      </c>
      <c r="BJ521" s="40">
        <f>H521*I521</f>
        <v>0</v>
      </c>
      <c r="BK521" s="40"/>
      <c r="BL521" s="40">
        <v>89</v>
      </c>
    </row>
    <row r="522" spans="1:13" ht="27" customHeight="1">
      <c r="A522" s="67"/>
      <c r="B522" s="18" t="s">
        <v>114</v>
      </c>
      <c r="C522" s="93" t="s">
        <v>27</v>
      </c>
      <c r="D522" s="94"/>
      <c r="E522" s="94"/>
      <c r="F522" s="94"/>
      <c r="G522" s="94"/>
      <c r="H522" s="94"/>
      <c r="I522" s="94"/>
      <c r="J522" s="94"/>
      <c r="K522" s="94"/>
      <c r="L522" s="94"/>
      <c r="M522" s="95"/>
    </row>
    <row r="523" spans="1:47" ht="15" customHeight="1">
      <c r="A523" s="24" t="s">
        <v>878</v>
      </c>
      <c r="B523" s="66" t="s">
        <v>932</v>
      </c>
      <c r="C523" s="92" t="s">
        <v>143</v>
      </c>
      <c r="D523" s="92"/>
      <c r="E523" s="92"/>
      <c r="F523" s="92"/>
      <c r="G523" s="3" t="s">
        <v>1172</v>
      </c>
      <c r="H523" s="3" t="s">
        <v>1172</v>
      </c>
      <c r="I523" s="3" t="s">
        <v>1172</v>
      </c>
      <c r="J523" s="63">
        <f>SUM(J524:J524)</f>
        <v>0</v>
      </c>
      <c r="K523" s="63">
        <f>SUM(K524:K524)</f>
        <v>0</v>
      </c>
      <c r="L523" s="63">
        <f>SUM(L524:L524)</f>
        <v>0</v>
      </c>
      <c r="M523" s="4" t="s">
        <v>878</v>
      </c>
      <c r="AI523" s="11" t="s">
        <v>643</v>
      </c>
      <c r="AS523" s="63">
        <f>SUM(AJ524:AJ524)</f>
        <v>0</v>
      </c>
      <c r="AT523" s="63">
        <f>SUM(AK524:AK524)</f>
        <v>0</v>
      </c>
      <c r="AU523" s="63">
        <f>SUM(AL524:AL524)</f>
        <v>0</v>
      </c>
    </row>
    <row r="524" spans="1:64" ht="15" customHeight="1">
      <c r="A524" s="19" t="s">
        <v>421</v>
      </c>
      <c r="B524" s="59" t="s">
        <v>1216</v>
      </c>
      <c r="C524" s="76" t="s">
        <v>786</v>
      </c>
      <c r="D524" s="76"/>
      <c r="E524" s="76"/>
      <c r="F524" s="76"/>
      <c r="G524" s="59" t="s">
        <v>565</v>
      </c>
      <c r="H524" s="40">
        <v>23.86</v>
      </c>
      <c r="I524" s="40">
        <v>0</v>
      </c>
      <c r="J524" s="40">
        <f>H524*AO524</f>
        <v>0</v>
      </c>
      <c r="K524" s="40">
        <f>H524*AP524</f>
        <v>0</v>
      </c>
      <c r="L524" s="40">
        <f>H524*I524</f>
        <v>0</v>
      </c>
      <c r="M524" s="69" t="s">
        <v>868</v>
      </c>
      <c r="Z524" s="40">
        <f>IF(AQ524="5",BJ524,0)</f>
        <v>0</v>
      </c>
      <c r="AB524" s="40">
        <f>IF(AQ524="1",BH524,0)</f>
        <v>0</v>
      </c>
      <c r="AC524" s="40">
        <f>IF(AQ524="1",BI524,0)</f>
        <v>0</v>
      </c>
      <c r="AD524" s="40">
        <f>IF(AQ524="7",BH524,0)</f>
        <v>0</v>
      </c>
      <c r="AE524" s="40">
        <f>IF(AQ524="7",BI524,0)</f>
        <v>0</v>
      </c>
      <c r="AF524" s="40">
        <f>IF(AQ524="2",BH524,0)</f>
        <v>0</v>
      </c>
      <c r="AG524" s="40">
        <f>IF(AQ524="2",BI524,0)</f>
        <v>0</v>
      </c>
      <c r="AH524" s="40">
        <f>IF(AQ524="0",BJ524,0)</f>
        <v>0</v>
      </c>
      <c r="AI524" s="11" t="s">
        <v>643</v>
      </c>
      <c r="AJ524" s="40">
        <f>IF(AN524=0,L524,0)</f>
        <v>0</v>
      </c>
      <c r="AK524" s="40">
        <f>IF(AN524=15,L524,0)</f>
        <v>0</v>
      </c>
      <c r="AL524" s="40">
        <f>IF(AN524=21,L524,0)</f>
        <v>0</v>
      </c>
      <c r="AN524" s="40">
        <v>21</v>
      </c>
      <c r="AO524" s="40">
        <f>I524*0</f>
        <v>0</v>
      </c>
      <c r="AP524" s="40">
        <f>I524*(1-0)</f>
        <v>0</v>
      </c>
      <c r="AQ524" s="17" t="s">
        <v>668</v>
      </c>
      <c r="AV524" s="40">
        <f>AW524+AX524</f>
        <v>0</v>
      </c>
      <c r="AW524" s="40">
        <f>H524*AO524</f>
        <v>0</v>
      </c>
      <c r="AX524" s="40">
        <f>H524*AP524</f>
        <v>0</v>
      </c>
      <c r="AY524" s="17" t="s">
        <v>224</v>
      </c>
      <c r="AZ524" s="17" t="s">
        <v>84</v>
      </c>
      <c r="BA524" s="11" t="s">
        <v>445</v>
      </c>
      <c r="BC524" s="40">
        <f>AW524+AX524</f>
        <v>0</v>
      </c>
      <c r="BD524" s="40">
        <f>I524/(100-BE524)*100</f>
        <v>0</v>
      </c>
      <c r="BE524" s="40">
        <v>0</v>
      </c>
      <c r="BF524" s="40">
        <f>524</f>
        <v>524</v>
      </c>
      <c r="BH524" s="40">
        <f>H524*AO524</f>
        <v>0</v>
      </c>
      <c r="BI524" s="40">
        <f>H524*AP524</f>
        <v>0</v>
      </c>
      <c r="BJ524" s="40">
        <f>H524*I524</f>
        <v>0</v>
      </c>
      <c r="BK524" s="40"/>
      <c r="BL524" s="40"/>
    </row>
    <row r="525" spans="1:47" ht="15" customHeight="1">
      <c r="A525" s="24" t="s">
        <v>878</v>
      </c>
      <c r="B525" s="66" t="s">
        <v>744</v>
      </c>
      <c r="C525" s="92" t="s">
        <v>790</v>
      </c>
      <c r="D525" s="92"/>
      <c r="E525" s="92"/>
      <c r="F525" s="92"/>
      <c r="G525" s="3" t="s">
        <v>1172</v>
      </c>
      <c r="H525" s="3" t="s">
        <v>1172</v>
      </c>
      <c r="I525" s="3" t="s">
        <v>1172</v>
      </c>
      <c r="J525" s="63">
        <f>SUM(J526:J526)</f>
        <v>0</v>
      </c>
      <c r="K525" s="63">
        <f>SUM(K526:K526)</f>
        <v>0</v>
      </c>
      <c r="L525" s="63">
        <f>SUM(L526:L526)</f>
        <v>0</v>
      </c>
      <c r="M525" s="4" t="s">
        <v>878</v>
      </c>
      <c r="AI525" s="11" t="s">
        <v>643</v>
      </c>
      <c r="AS525" s="63">
        <f>SUM(AJ526:AJ526)</f>
        <v>0</v>
      </c>
      <c r="AT525" s="63">
        <f>SUM(AK526:AK526)</f>
        <v>0</v>
      </c>
      <c r="AU525" s="63">
        <f>SUM(AL526:AL526)</f>
        <v>0</v>
      </c>
    </row>
    <row r="526" spans="1:64" ht="15" customHeight="1">
      <c r="A526" s="19" t="s">
        <v>1069</v>
      </c>
      <c r="B526" s="59" t="s">
        <v>147</v>
      </c>
      <c r="C526" s="76" t="s">
        <v>156</v>
      </c>
      <c r="D526" s="76"/>
      <c r="E526" s="76"/>
      <c r="F526" s="76"/>
      <c r="G526" s="59" t="s">
        <v>1243</v>
      </c>
      <c r="H526" s="40">
        <v>205</v>
      </c>
      <c r="I526" s="40">
        <v>0</v>
      </c>
      <c r="J526" s="40">
        <f>H526*AO526</f>
        <v>0</v>
      </c>
      <c r="K526" s="40">
        <f>H526*AP526</f>
        <v>0</v>
      </c>
      <c r="L526" s="40">
        <f>H526*I526</f>
        <v>0</v>
      </c>
      <c r="M526" s="69" t="s">
        <v>868</v>
      </c>
      <c r="Z526" s="40">
        <f>IF(AQ526="5",BJ526,0)</f>
        <v>0</v>
      </c>
      <c r="AB526" s="40">
        <f>IF(AQ526="1",BH526,0)</f>
        <v>0</v>
      </c>
      <c r="AC526" s="40">
        <f>IF(AQ526="1",BI526,0)</f>
        <v>0</v>
      </c>
      <c r="AD526" s="40">
        <f>IF(AQ526="7",BH526,0)</f>
        <v>0</v>
      </c>
      <c r="AE526" s="40">
        <f>IF(AQ526="7",BI526,0)</f>
        <v>0</v>
      </c>
      <c r="AF526" s="40">
        <f>IF(AQ526="2",BH526,0)</f>
        <v>0</v>
      </c>
      <c r="AG526" s="40">
        <f>IF(AQ526="2",BI526,0)</f>
        <v>0</v>
      </c>
      <c r="AH526" s="40">
        <f>IF(AQ526="0",BJ526,0)</f>
        <v>0</v>
      </c>
      <c r="AI526" s="11" t="s">
        <v>643</v>
      </c>
      <c r="AJ526" s="40">
        <f>IF(AN526=0,L526,0)</f>
        <v>0</v>
      </c>
      <c r="AK526" s="40">
        <f>IF(AN526=15,L526,0)</f>
        <v>0</v>
      </c>
      <c r="AL526" s="40">
        <f>IF(AN526=21,L526,0)</f>
        <v>0</v>
      </c>
      <c r="AN526" s="40">
        <v>21</v>
      </c>
      <c r="AO526" s="40">
        <f>I526*0</f>
        <v>0</v>
      </c>
      <c r="AP526" s="40">
        <f>I526*(1-0)</f>
        <v>0</v>
      </c>
      <c r="AQ526" s="17" t="s">
        <v>873</v>
      </c>
      <c r="AV526" s="40">
        <f>AW526+AX526</f>
        <v>0</v>
      </c>
      <c r="AW526" s="40">
        <f>H526*AO526</f>
        <v>0</v>
      </c>
      <c r="AX526" s="40">
        <f>H526*AP526</f>
        <v>0</v>
      </c>
      <c r="AY526" s="17" t="s">
        <v>1107</v>
      </c>
      <c r="AZ526" s="17" t="s">
        <v>84</v>
      </c>
      <c r="BA526" s="11" t="s">
        <v>445</v>
      </c>
      <c r="BC526" s="40">
        <f>AW526+AX526</f>
        <v>0</v>
      </c>
      <c r="BD526" s="40">
        <f>I526/(100-BE526)*100</f>
        <v>0</v>
      </c>
      <c r="BE526" s="40">
        <v>0</v>
      </c>
      <c r="BF526" s="40">
        <f>526</f>
        <v>526</v>
      </c>
      <c r="BH526" s="40">
        <f>H526*AO526</f>
        <v>0</v>
      </c>
      <c r="BI526" s="40">
        <f>H526*AP526</f>
        <v>0</v>
      </c>
      <c r="BJ526" s="40">
        <f>H526*I526</f>
        <v>0</v>
      </c>
      <c r="BK526" s="40"/>
      <c r="BL526" s="40"/>
    </row>
    <row r="527" spans="1:35" ht="15" customHeight="1">
      <c r="A527" s="24" t="s">
        <v>878</v>
      </c>
      <c r="B527" s="66" t="s">
        <v>878</v>
      </c>
      <c r="C527" s="92" t="s">
        <v>752</v>
      </c>
      <c r="D527" s="92"/>
      <c r="E527" s="92"/>
      <c r="F527" s="92"/>
      <c r="G527" s="3" t="s">
        <v>1172</v>
      </c>
      <c r="H527" s="3" t="s">
        <v>1172</v>
      </c>
      <c r="I527" s="3" t="s">
        <v>1172</v>
      </c>
      <c r="J527" s="63">
        <f>J528</f>
        <v>0</v>
      </c>
      <c r="K527" s="63">
        <f>K528</f>
        <v>0</v>
      </c>
      <c r="L527" s="63">
        <f>L528</f>
        <v>0</v>
      </c>
      <c r="M527" s="4" t="s">
        <v>878</v>
      </c>
      <c r="AI527" s="11" t="s">
        <v>643</v>
      </c>
    </row>
    <row r="528" spans="1:47" ht="15" customHeight="1">
      <c r="A528" s="24" t="s">
        <v>878</v>
      </c>
      <c r="B528" s="66" t="s">
        <v>940</v>
      </c>
      <c r="C528" s="92" t="s">
        <v>581</v>
      </c>
      <c r="D528" s="92"/>
      <c r="E528" s="92"/>
      <c r="F528" s="92"/>
      <c r="G528" s="3" t="s">
        <v>1172</v>
      </c>
      <c r="H528" s="3" t="s">
        <v>1172</v>
      </c>
      <c r="I528" s="3" t="s">
        <v>1172</v>
      </c>
      <c r="J528" s="63">
        <f>SUM(J529:J529)</f>
        <v>0</v>
      </c>
      <c r="K528" s="63">
        <f>SUM(K529:K529)</f>
        <v>0</v>
      </c>
      <c r="L528" s="63">
        <f>SUM(L529:L529)</f>
        <v>0</v>
      </c>
      <c r="M528" s="4" t="s">
        <v>878</v>
      </c>
      <c r="AI528" s="11" t="s">
        <v>643</v>
      </c>
      <c r="AS528" s="63">
        <f>SUM(AJ529:AJ529)</f>
        <v>0</v>
      </c>
      <c r="AT528" s="63">
        <f>SUM(AK529:AK529)</f>
        <v>0</v>
      </c>
      <c r="AU528" s="63">
        <f>SUM(AL529:AL529)</f>
        <v>0</v>
      </c>
    </row>
    <row r="529" spans="1:65" ht="15" customHeight="1">
      <c r="A529" s="19" t="s">
        <v>149</v>
      </c>
      <c r="B529" s="59" t="s">
        <v>1308</v>
      </c>
      <c r="C529" s="76" t="s">
        <v>589</v>
      </c>
      <c r="D529" s="76"/>
      <c r="E529" s="76"/>
      <c r="F529" s="76"/>
      <c r="G529" s="59" t="s">
        <v>852</v>
      </c>
      <c r="H529" s="40">
        <v>3</v>
      </c>
      <c r="I529" s="40">
        <v>0</v>
      </c>
      <c r="J529" s="40">
        <f>H529*AO529</f>
        <v>0</v>
      </c>
      <c r="K529" s="40">
        <f>H529*AP529</f>
        <v>0</v>
      </c>
      <c r="L529" s="40">
        <f>H529*I529</f>
        <v>0</v>
      </c>
      <c r="M529" s="69" t="s">
        <v>868</v>
      </c>
      <c r="Z529" s="40">
        <f>IF(AQ529="5",BJ529,0)</f>
        <v>0</v>
      </c>
      <c r="AB529" s="40">
        <f>IF(AQ529="1",BH529,0)</f>
        <v>0</v>
      </c>
      <c r="AC529" s="40">
        <f>IF(AQ529="1",BI529,0)</f>
        <v>0</v>
      </c>
      <c r="AD529" s="40">
        <f>IF(AQ529="7",BH529,0)</f>
        <v>0</v>
      </c>
      <c r="AE529" s="40">
        <f>IF(AQ529="7",BI529,0)</f>
        <v>0</v>
      </c>
      <c r="AF529" s="40">
        <f>IF(AQ529="2",BH529,0)</f>
        <v>0</v>
      </c>
      <c r="AG529" s="40">
        <f>IF(AQ529="2",BI529,0)</f>
        <v>0</v>
      </c>
      <c r="AH529" s="40">
        <f>IF(AQ529="0",BJ529,0)</f>
        <v>0</v>
      </c>
      <c r="AI529" s="11" t="s">
        <v>643</v>
      </c>
      <c r="AJ529" s="40">
        <f>IF(AN529=0,L529,0)</f>
        <v>0</v>
      </c>
      <c r="AK529" s="40">
        <f>IF(AN529=15,L529,0)</f>
        <v>0</v>
      </c>
      <c r="AL529" s="40">
        <f>IF(AN529=21,L529,0)</f>
        <v>0</v>
      </c>
      <c r="AN529" s="40">
        <v>21</v>
      </c>
      <c r="AO529" s="40">
        <f>I529*0</f>
        <v>0</v>
      </c>
      <c r="AP529" s="40">
        <f>I529*(1-0)</f>
        <v>0</v>
      </c>
      <c r="AQ529" s="17" t="s">
        <v>578</v>
      </c>
      <c r="AV529" s="40">
        <f>AW529+AX529</f>
        <v>0</v>
      </c>
      <c r="AW529" s="40">
        <f>H529*AO529</f>
        <v>0</v>
      </c>
      <c r="AX529" s="40">
        <f>H529*AP529</f>
        <v>0</v>
      </c>
      <c r="AY529" s="17" t="s">
        <v>593</v>
      </c>
      <c r="AZ529" s="17" t="s">
        <v>792</v>
      </c>
      <c r="BA529" s="11" t="s">
        <v>445</v>
      </c>
      <c r="BC529" s="40">
        <f>AW529+AX529</f>
        <v>0</v>
      </c>
      <c r="BD529" s="40">
        <f>I529/(100-BE529)*100</f>
        <v>0</v>
      </c>
      <c r="BE529" s="40">
        <v>0</v>
      </c>
      <c r="BF529" s="40">
        <f>529</f>
        <v>529</v>
      </c>
      <c r="BH529" s="40">
        <f>H529*AO529</f>
        <v>0</v>
      </c>
      <c r="BI529" s="40">
        <f>H529*AP529</f>
        <v>0</v>
      </c>
      <c r="BJ529" s="40">
        <f>H529*I529</f>
        <v>0</v>
      </c>
      <c r="BK529" s="40"/>
      <c r="BL529" s="40"/>
      <c r="BM529" s="40">
        <f>H529*I529</f>
        <v>0</v>
      </c>
    </row>
    <row r="530" spans="1:13" ht="13.5" customHeight="1">
      <c r="A530" s="67"/>
      <c r="B530" s="18" t="s">
        <v>114</v>
      </c>
      <c r="C530" s="93" t="s">
        <v>158</v>
      </c>
      <c r="D530" s="94"/>
      <c r="E530" s="94"/>
      <c r="F530" s="94"/>
      <c r="G530" s="94"/>
      <c r="H530" s="94"/>
      <c r="I530" s="94"/>
      <c r="J530" s="94"/>
      <c r="K530" s="94"/>
      <c r="L530" s="94"/>
      <c r="M530" s="95"/>
    </row>
    <row r="531" spans="1:13" ht="15" customHeight="1">
      <c r="A531" s="24" t="s">
        <v>878</v>
      </c>
      <c r="B531" s="66" t="s">
        <v>878</v>
      </c>
      <c r="C531" s="92" t="s">
        <v>1443</v>
      </c>
      <c r="D531" s="92"/>
      <c r="E531" s="92"/>
      <c r="F531" s="92"/>
      <c r="G531" s="3" t="s">
        <v>1172</v>
      </c>
      <c r="H531" s="3" t="s">
        <v>1172</v>
      </c>
      <c r="I531" s="3" t="s">
        <v>1172</v>
      </c>
      <c r="J531" s="63">
        <f>J532+J537+J542+J547+J557+J561+J565+J571+J575+J577+J580+J582</f>
        <v>0</v>
      </c>
      <c r="K531" s="63">
        <f>K532+K537+K542+K547+K557+K561+K565+K571+K575+K577+K580+K582</f>
        <v>0</v>
      </c>
      <c r="L531" s="63">
        <f>L532+L537+L542+L547+L557+L561+L565+L571+L575+L577+L580+L582</f>
        <v>0</v>
      </c>
      <c r="M531" s="4" t="s">
        <v>878</v>
      </c>
    </row>
    <row r="532" spans="1:47" ht="15" customHeight="1">
      <c r="A532" s="24" t="s">
        <v>878</v>
      </c>
      <c r="B532" s="66" t="s">
        <v>1054</v>
      </c>
      <c r="C532" s="92" t="s">
        <v>690</v>
      </c>
      <c r="D532" s="92"/>
      <c r="E532" s="92"/>
      <c r="F532" s="92"/>
      <c r="G532" s="3" t="s">
        <v>1172</v>
      </c>
      <c r="H532" s="3" t="s">
        <v>1172</v>
      </c>
      <c r="I532" s="3" t="s">
        <v>1172</v>
      </c>
      <c r="J532" s="63">
        <f>SUM(J533:J536)</f>
        <v>0</v>
      </c>
      <c r="K532" s="63">
        <f>SUM(K533:K536)</f>
        <v>0</v>
      </c>
      <c r="L532" s="63">
        <f>SUM(L533:L536)</f>
        <v>0</v>
      </c>
      <c r="M532" s="4" t="s">
        <v>878</v>
      </c>
      <c r="AI532" s="11" t="s">
        <v>1121</v>
      </c>
      <c r="AS532" s="63">
        <f>SUM(AJ533:AJ536)</f>
        <v>0</v>
      </c>
      <c r="AT532" s="63">
        <f>SUM(AK533:AK536)</f>
        <v>0</v>
      </c>
      <c r="AU532" s="63">
        <f>SUM(AL533:AL536)</f>
        <v>0</v>
      </c>
    </row>
    <row r="533" spans="1:64" ht="15" customHeight="1">
      <c r="A533" s="19" t="s">
        <v>380</v>
      </c>
      <c r="B533" s="59" t="s">
        <v>731</v>
      </c>
      <c r="C533" s="76" t="s">
        <v>888</v>
      </c>
      <c r="D533" s="76"/>
      <c r="E533" s="76"/>
      <c r="F533" s="76"/>
      <c r="G533" s="59" t="s">
        <v>1243</v>
      </c>
      <c r="H533" s="40">
        <v>2465</v>
      </c>
      <c r="I533" s="40">
        <v>0</v>
      </c>
      <c r="J533" s="40">
        <f>H533*AO533</f>
        <v>0</v>
      </c>
      <c r="K533" s="40">
        <f>H533*AP533</f>
        <v>0</v>
      </c>
      <c r="L533" s="40">
        <f>H533*I533</f>
        <v>0</v>
      </c>
      <c r="M533" s="69" t="s">
        <v>868</v>
      </c>
      <c r="Z533" s="40">
        <f>IF(AQ533="5",BJ533,0)</f>
        <v>0</v>
      </c>
      <c r="AB533" s="40">
        <f>IF(AQ533="1",BH533,0)</f>
        <v>0</v>
      </c>
      <c r="AC533" s="40">
        <f>IF(AQ533="1",BI533,0)</f>
        <v>0</v>
      </c>
      <c r="AD533" s="40">
        <f>IF(AQ533="7",BH533,0)</f>
        <v>0</v>
      </c>
      <c r="AE533" s="40">
        <f>IF(AQ533="7",BI533,0)</f>
        <v>0</v>
      </c>
      <c r="AF533" s="40">
        <f>IF(AQ533="2",BH533,0)</f>
        <v>0</v>
      </c>
      <c r="AG533" s="40">
        <f>IF(AQ533="2",BI533,0)</f>
        <v>0</v>
      </c>
      <c r="AH533" s="40">
        <f>IF(AQ533="0",BJ533,0)</f>
        <v>0</v>
      </c>
      <c r="AI533" s="11" t="s">
        <v>1121</v>
      </c>
      <c r="AJ533" s="40">
        <f>IF(AN533=0,L533,0)</f>
        <v>0</v>
      </c>
      <c r="AK533" s="40">
        <f>IF(AN533=15,L533,0)</f>
        <v>0</v>
      </c>
      <c r="AL533" s="40">
        <f>IF(AN533=21,L533,0)</f>
        <v>0</v>
      </c>
      <c r="AN533" s="40">
        <v>21</v>
      </c>
      <c r="AO533" s="40">
        <f>I533*0</f>
        <v>0</v>
      </c>
      <c r="AP533" s="40">
        <f>I533*(1-0)</f>
        <v>0</v>
      </c>
      <c r="AQ533" s="17" t="s">
        <v>1260</v>
      </c>
      <c r="AV533" s="40">
        <f>AW533+AX533</f>
        <v>0</v>
      </c>
      <c r="AW533" s="40">
        <f>H533*AO533</f>
        <v>0</v>
      </c>
      <c r="AX533" s="40">
        <f>H533*AP533</f>
        <v>0</v>
      </c>
      <c r="AY533" s="17" t="s">
        <v>144</v>
      </c>
      <c r="AZ533" s="17" t="s">
        <v>1408</v>
      </c>
      <c r="BA533" s="11" t="s">
        <v>475</v>
      </c>
      <c r="BC533" s="40">
        <f>AW533+AX533</f>
        <v>0</v>
      </c>
      <c r="BD533" s="40">
        <f>I533/(100-BE533)*100</f>
        <v>0</v>
      </c>
      <c r="BE533" s="40">
        <v>0</v>
      </c>
      <c r="BF533" s="40">
        <f>533</f>
        <v>533</v>
      </c>
      <c r="BH533" s="40">
        <f>H533*AO533</f>
        <v>0</v>
      </c>
      <c r="BI533" s="40">
        <f>H533*AP533</f>
        <v>0</v>
      </c>
      <c r="BJ533" s="40">
        <f>H533*I533</f>
        <v>0</v>
      </c>
      <c r="BK533" s="40"/>
      <c r="BL533" s="40">
        <v>11</v>
      </c>
    </row>
    <row r="534" spans="1:64" ht="15" customHeight="1">
      <c r="A534" s="19" t="s">
        <v>482</v>
      </c>
      <c r="B534" s="59" t="s">
        <v>901</v>
      </c>
      <c r="C534" s="76" t="s">
        <v>92</v>
      </c>
      <c r="D534" s="76"/>
      <c r="E534" s="76"/>
      <c r="F534" s="76"/>
      <c r="G534" s="59" t="s">
        <v>1243</v>
      </c>
      <c r="H534" s="40">
        <v>2465</v>
      </c>
      <c r="I534" s="40">
        <v>0</v>
      </c>
      <c r="J534" s="40">
        <f>H534*AO534</f>
        <v>0</v>
      </c>
      <c r="K534" s="40">
        <f>H534*AP534</f>
        <v>0</v>
      </c>
      <c r="L534" s="40">
        <f>H534*I534</f>
        <v>0</v>
      </c>
      <c r="M534" s="69" t="s">
        <v>868</v>
      </c>
      <c r="Z534" s="40">
        <f>IF(AQ534="5",BJ534,0)</f>
        <v>0</v>
      </c>
      <c r="AB534" s="40">
        <f>IF(AQ534="1",BH534,0)</f>
        <v>0</v>
      </c>
      <c r="AC534" s="40">
        <f>IF(AQ534="1",BI534,0)</f>
        <v>0</v>
      </c>
      <c r="AD534" s="40">
        <f>IF(AQ534="7",BH534,0)</f>
        <v>0</v>
      </c>
      <c r="AE534" s="40">
        <f>IF(AQ534="7",BI534,0)</f>
        <v>0</v>
      </c>
      <c r="AF534" s="40">
        <f>IF(AQ534="2",BH534,0)</f>
        <v>0</v>
      </c>
      <c r="AG534" s="40">
        <f>IF(AQ534="2",BI534,0)</f>
        <v>0</v>
      </c>
      <c r="AH534" s="40">
        <f>IF(AQ534="0",BJ534,0)</f>
        <v>0</v>
      </c>
      <c r="AI534" s="11" t="s">
        <v>1121</v>
      </c>
      <c r="AJ534" s="40">
        <f>IF(AN534=0,L534,0)</f>
        <v>0</v>
      </c>
      <c r="AK534" s="40">
        <f>IF(AN534=15,L534,0)</f>
        <v>0</v>
      </c>
      <c r="AL534" s="40">
        <f>IF(AN534=21,L534,0)</f>
        <v>0</v>
      </c>
      <c r="AN534" s="40">
        <v>21</v>
      </c>
      <c r="AO534" s="40">
        <f>I534*0</f>
        <v>0</v>
      </c>
      <c r="AP534" s="40">
        <f>I534*(1-0)</f>
        <v>0</v>
      </c>
      <c r="AQ534" s="17" t="s">
        <v>1260</v>
      </c>
      <c r="AV534" s="40">
        <f>AW534+AX534</f>
        <v>0</v>
      </c>
      <c r="AW534" s="40">
        <f>H534*AO534</f>
        <v>0</v>
      </c>
      <c r="AX534" s="40">
        <f>H534*AP534</f>
        <v>0</v>
      </c>
      <c r="AY534" s="17" t="s">
        <v>144</v>
      </c>
      <c r="AZ534" s="17" t="s">
        <v>1408</v>
      </c>
      <c r="BA534" s="11" t="s">
        <v>475</v>
      </c>
      <c r="BC534" s="40">
        <f>AW534+AX534</f>
        <v>0</v>
      </c>
      <c r="BD534" s="40">
        <f>I534/(100-BE534)*100</f>
        <v>0</v>
      </c>
      <c r="BE534" s="40">
        <v>0</v>
      </c>
      <c r="BF534" s="40">
        <f>534</f>
        <v>534</v>
      </c>
      <c r="BH534" s="40">
        <f>H534*AO534</f>
        <v>0</v>
      </c>
      <c r="BI534" s="40">
        <f>H534*AP534</f>
        <v>0</v>
      </c>
      <c r="BJ534" s="40">
        <f>H534*I534</f>
        <v>0</v>
      </c>
      <c r="BK534" s="40"/>
      <c r="BL534" s="40">
        <v>11</v>
      </c>
    </row>
    <row r="535" spans="1:64" ht="15" customHeight="1">
      <c r="A535" s="19" t="s">
        <v>676</v>
      </c>
      <c r="B535" s="59" t="s">
        <v>908</v>
      </c>
      <c r="C535" s="76" t="s">
        <v>1184</v>
      </c>
      <c r="D535" s="76"/>
      <c r="E535" s="76"/>
      <c r="F535" s="76"/>
      <c r="G535" s="59" t="s">
        <v>1041</v>
      </c>
      <c r="H535" s="40">
        <v>1580</v>
      </c>
      <c r="I535" s="40">
        <v>0</v>
      </c>
      <c r="J535" s="40">
        <f>H535*AO535</f>
        <v>0</v>
      </c>
      <c r="K535" s="40">
        <f>H535*AP535</f>
        <v>0</v>
      </c>
      <c r="L535" s="40">
        <f>H535*I535</f>
        <v>0</v>
      </c>
      <c r="M535" s="69" t="s">
        <v>868</v>
      </c>
      <c r="Z535" s="40">
        <f>IF(AQ535="5",BJ535,0)</f>
        <v>0</v>
      </c>
      <c r="AB535" s="40">
        <f>IF(AQ535="1",BH535,0)</f>
        <v>0</v>
      </c>
      <c r="AC535" s="40">
        <f>IF(AQ535="1",BI535,0)</f>
        <v>0</v>
      </c>
      <c r="AD535" s="40">
        <f>IF(AQ535="7",BH535,0)</f>
        <v>0</v>
      </c>
      <c r="AE535" s="40">
        <f>IF(AQ535="7",BI535,0)</f>
        <v>0</v>
      </c>
      <c r="AF535" s="40">
        <f>IF(AQ535="2",BH535,0)</f>
        <v>0</v>
      </c>
      <c r="AG535" s="40">
        <f>IF(AQ535="2",BI535,0)</f>
        <v>0</v>
      </c>
      <c r="AH535" s="40">
        <f>IF(AQ535="0",BJ535,0)</f>
        <v>0</v>
      </c>
      <c r="AI535" s="11" t="s">
        <v>1121</v>
      </c>
      <c r="AJ535" s="40">
        <f>IF(AN535=0,L535,0)</f>
        <v>0</v>
      </c>
      <c r="AK535" s="40">
        <f>IF(AN535=15,L535,0)</f>
        <v>0</v>
      </c>
      <c r="AL535" s="40">
        <f>IF(AN535=21,L535,0)</f>
        <v>0</v>
      </c>
      <c r="AN535" s="40">
        <v>21</v>
      </c>
      <c r="AO535" s="40">
        <f>I535*0</f>
        <v>0</v>
      </c>
      <c r="AP535" s="40">
        <f>I535*(1-0)</f>
        <v>0</v>
      </c>
      <c r="AQ535" s="17" t="s">
        <v>1260</v>
      </c>
      <c r="AV535" s="40">
        <f>AW535+AX535</f>
        <v>0</v>
      </c>
      <c r="AW535" s="40">
        <f>H535*AO535</f>
        <v>0</v>
      </c>
      <c r="AX535" s="40">
        <f>H535*AP535</f>
        <v>0</v>
      </c>
      <c r="AY535" s="17" t="s">
        <v>144</v>
      </c>
      <c r="AZ535" s="17" t="s">
        <v>1408</v>
      </c>
      <c r="BA535" s="11" t="s">
        <v>475</v>
      </c>
      <c r="BC535" s="40">
        <f>AW535+AX535</f>
        <v>0</v>
      </c>
      <c r="BD535" s="40">
        <f>I535/(100-BE535)*100</f>
        <v>0</v>
      </c>
      <c r="BE535" s="40">
        <v>0</v>
      </c>
      <c r="BF535" s="40">
        <f>535</f>
        <v>535</v>
      </c>
      <c r="BH535" s="40">
        <f>H535*AO535</f>
        <v>0</v>
      </c>
      <c r="BI535" s="40">
        <f>H535*AP535</f>
        <v>0</v>
      </c>
      <c r="BJ535" s="40">
        <f>H535*I535</f>
        <v>0</v>
      </c>
      <c r="BK535" s="40"/>
      <c r="BL535" s="40">
        <v>11</v>
      </c>
    </row>
    <row r="536" spans="1:64" ht="15" customHeight="1">
      <c r="A536" s="19" t="s">
        <v>1125</v>
      </c>
      <c r="B536" s="59" t="s">
        <v>516</v>
      </c>
      <c r="C536" s="76" t="s">
        <v>828</v>
      </c>
      <c r="D536" s="76"/>
      <c r="E536" s="76"/>
      <c r="F536" s="76"/>
      <c r="G536" s="59" t="s">
        <v>1243</v>
      </c>
      <c r="H536" s="40">
        <v>495</v>
      </c>
      <c r="I536" s="40">
        <v>0</v>
      </c>
      <c r="J536" s="40">
        <f>H536*AO536</f>
        <v>0</v>
      </c>
      <c r="K536" s="40">
        <f>H536*AP536</f>
        <v>0</v>
      </c>
      <c r="L536" s="40">
        <f>H536*I536</f>
        <v>0</v>
      </c>
      <c r="M536" s="69" t="s">
        <v>868</v>
      </c>
      <c r="Z536" s="40">
        <f>IF(AQ536="5",BJ536,0)</f>
        <v>0</v>
      </c>
      <c r="AB536" s="40">
        <f>IF(AQ536="1",BH536,0)</f>
        <v>0</v>
      </c>
      <c r="AC536" s="40">
        <f>IF(AQ536="1",BI536,0)</f>
        <v>0</v>
      </c>
      <c r="AD536" s="40">
        <f>IF(AQ536="7",BH536,0)</f>
        <v>0</v>
      </c>
      <c r="AE536" s="40">
        <f>IF(AQ536="7",BI536,0)</f>
        <v>0</v>
      </c>
      <c r="AF536" s="40">
        <f>IF(AQ536="2",BH536,0)</f>
        <v>0</v>
      </c>
      <c r="AG536" s="40">
        <f>IF(AQ536="2",BI536,0)</f>
        <v>0</v>
      </c>
      <c r="AH536" s="40">
        <f>IF(AQ536="0",BJ536,0)</f>
        <v>0</v>
      </c>
      <c r="AI536" s="11" t="s">
        <v>1121</v>
      </c>
      <c r="AJ536" s="40">
        <f>IF(AN536=0,L536,0)</f>
        <v>0</v>
      </c>
      <c r="AK536" s="40">
        <f>IF(AN536=15,L536,0)</f>
        <v>0</v>
      </c>
      <c r="AL536" s="40">
        <f>IF(AN536=21,L536,0)</f>
        <v>0</v>
      </c>
      <c r="AN536" s="40">
        <v>21</v>
      </c>
      <c r="AO536" s="40">
        <f>I536*0.0219207592209834</f>
        <v>0</v>
      </c>
      <c r="AP536" s="40">
        <f>I536*(1-0.0219207592209834)</f>
        <v>0</v>
      </c>
      <c r="AQ536" s="17" t="s">
        <v>1260</v>
      </c>
      <c r="AV536" s="40">
        <f>AW536+AX536</f>
        <v>0</v>
      </c>
      <c r="AW536" s="40">
        <f>H536*AO536</f>
        <v>0</v>
      </c>
      <c r="AX536" s="40">
        <f>H536*AP536</f>
        <v>0</v>
      </c>
      <c r="AY536" s="17" t="s">
        <v>144</v>
      </c>
      <c r="AZ536" s="17" t="s">
        <v>1408</v>
      </c>
      <c r="BA536" s="11" t="s">
        <v>475</v>
      </c>
      <c r="BC536" s="40">
        <f>AW536+AX536</f>
        <v>0</v>
      </c>
      <c r="BD536" s="40">
        <f>I536/(100-BE536)*100</f>
        <v>0</v>
      </c>
      <c r="BE536" s="40">
        <v>0</v>
      </c>
      <c r="BF536" s="40">
        <f>536</f>
        <v>536</v>
      </c>
      <c r="BH536" s="40">
        <f>H536*AO536</f>
        <v>0</v>
      </c>
      <c r="BI536" s="40">
        <f>H536*AP536</f>
        <v>0</v>
      </c>
      <c r="BJ536" s="40">
        <f>H536*I536</f>
        <v>0</v>
      </c>
      <c r="BK536" s="40"/>
      <c r="BL536" s="40">
        <v>11</v>
      </c>
    </row>
    <row r="537" spans="1:47" ht="15" customHeight="1">
      <c r="A537" s="24" t="s">
        <v>878</v>
      </c>
      <c r="B537" s="66" t="s">
        <v>1203</v>
      </c>
      <c r="C537" s="92" t="s">
        <v>846</v>
      </c>
      <c r="D537" s="92"/>
      <c r="E537" s="92"/>
      <c r="F537" s="92"/>
      <c r="G537" s="3" t="s">
        <v>1172</v>
      </c>
      <c r="H537" s="3" t="s">
        <v>1172</v>
      </c>
      <c r="I537" s="3" t="s">
        <v>1172</v>
      </c>
      <c r="J537" s="63">
        <f>SUM(J538:J541)</f>
        <v>0</v>
      </c>
      <c r="K537" s="63">
        <f>SUM(K538:K541)</f>
        <v>0</v>
      </c>
      <c r="L537" s="63">
        <f>SUM(L538:L541)</f>
        <v>0</v>
      </c>
      <c r="M537" s="4" t="s">
        <v>878</v>
      </c>
      <c r="AI537" s="11" t="s">
        <v>1121</v>
      </c>
      <c r="AS537" s="63">
        <f>SUM(AJ538:AJ541)</f>
        <v>0</v>
      </c>
      <c r="AT537" s="63">
        <f>SUM(AK538:AK541)</f>
        <v>0</v>
      </c>
      <c r="AU537" s="63">
        <f>SUM(AL538:AL541)</f>
        <v>0</v>
      </c>
    </row>
    <row r="538" spans="1:64" ht="15" customHeight="1">
      <c r="A538" s="19" t="s">
        <v>465</v>
      </c>
      <c r="B538" s="59" t="s">
        <v>1230</v>
      </c>
      <c r="C538" s="76" t="s">
        <v>680</v>
      </c>
      <c r="D538" s="76"/>
      <c r="E538" s="76"/>
      <c r="F538" s="76"/>
      <c r="G538" s="59" t="s">
        <v>1243</v>
      </c>
      <c r="H538" s="40">
        <v>495</v>
      </c>
      <c r="I538" s="40">
        <v>0</v>
      </c>
      <c r="J538" s="40">
        <f>H538*AO538</f>
        <v>0</v>
      </c>
      <c r="K538" s="40">
        <f>H538*AP538</f>
        <v>0</v>
      </c>
      <c r="L538" s="40">
        <f>H538*I538</f>
        <v>0</v>
      </c>
      <c r="M538" s="69" t="s">
        <v>868</v>
      </c>
      <c r="Z538" s="40">
        <f>IF(AQ538="5",BJ538,0)</f>
        <v>0</v>
      </c>
      <c r="AB538" s="40">
        <f>IF(AQ538="1",BH538,0)</f>
        <v>0</v>
      </c>
      <c r="AC538" s="40">
        <f>IF(AQ538="1",BI538,0)</f>
        <v>0</v>
      </c>
      <c r="AD538" s="40">
        <f>IF(AQ538="7",BH538,0)</f>
        <v>0</v>
      </c>
      <c r="AE538" s="40">
        <f>IF(AQ538="7",BI538,0)</f>
        <v>0</v>
      </c>
      <c r="AF538" s="40">
        <f>IF(AQ538="2",BH538,0)</f>
        <v>0</v>
      </c>
      <c r="AG538" s="40">
        <f>IF(AQ538="2",BI538,0)</f>
        <v>0</v>
      </c>
      <c r="AH538" s="40">
        <f>IF(AQ538="0",BJ538,0)</f>
        <v>0</v>
      </c>
      <c r="AI538" s="11" t="s">
        <v>1121</v>
      </c>
      <c r="AJ538" s="40">
        <f>IF(AN538=0,L538,0)</f>
        <v>0</v>
      </c>
      <c r="AK538" s="40">
        <f>IF(AN538=15,L538,0)</f>
        <v>0</v>
      </c>
      <c r="AL538" s="40">
        <f>IF(AN538=21,L538,0)</f>
        <v>0</v>
      </c>
      <c r="AN538" s="40">
        <v>21</v>
      </c>
      <c r="AO538" s="40">
        <f>I538*0.810958904109589</f>
        <v>0</v>
      </c>
      <c r="AP538" s="40">
        <f>I538*(1-0.810958904109589)</f>
        <v>0</v>
      </c>
      <c r="AQ538" s="17" t="s">
        <v>1260</v>
      </c>
      <c r="AV538" s="40">
        <f>AW538+AX538</f>
        <v>0</v>
      </c>
      <c r="AW538" s="40">
        <f>H538*AO538</f>
        <v>0</v>
      </c>
      <c r="AX538" s="40">
        <f>H538*AP538</f>
        <v>0</v>
      </c>
      <c r="AY538" s="17" t="s">
        <v>492</v>
      </c>
      <c r="AZ538" s="17" t="s">
        <v>1049</v>
      </c>
      <c r="BA538" s="11" t="s">
        <v>475</v>
      </c>
      <c r="BC538" s="40">
        <f>AW538+AX538</f>
        <v>0</v>
      </c>
      <c r="BD538" s="40">
        <f>I538/(100-BE538)*100</f>
        <v>0</v>
      </c>
      <c r="BE538" s="40">
        <v>0</v>
      </c>
      <c r="BF538" s="40">
        <f>538</f>
        <v>538</v>
      </c>
      <c r="BH538" s="40">
        <f>H538*AO538</f>
        <v>0</v>
      </c>
      <c r="BI538" s="40">
        <f>H538*AP538</f>
        <v>0</v>
      </c>
      <c r="BJ538" s="40">
        <f>H538*I538</f>
        <v>0</v>
      </c>
      <c r="BK538" s="40"/>
      <c r="BL538" s="40">
        <v>57</v>
      </c>
    </row>
    <row r="539" spans="1:64" ht="15" customHeight="1">
      <c r="A539" s="19" t="s">
        <v>1035</v>
      </c>
      <c r="B539" s="59" t="s">
        <v>1127</v>
      </c>
      <c r="C539" s="76" t="s">
        <v>1176</v>
      </c>
      <c r="D539" s="76"/>
      <c r="E539" s="76"/>
      <c r="F539" s="76"/>
      <c r="G539" s="59" t="s">
        <v>1243</v>
      </c>
      <c r="H539" s="40">
        <v>495</v>
      </c>
      <c r="I539" s="40">
        <v>0</v>
      </c>
      <c r="J539" s="40">
        <f>H539*AO539</f>
        <v>0</v>
      </c>
      <c r="K539" s="40">
        <f>H539*AP539</f>
        <v>0</v>
      </c>
      <c r="L539" s="40">
        <f>H539*I539</f>
        <v>0</v>
      </c>
      <c r="M539" s="69" t="s">
        <v>868</v>
      </c>
      <c r="Z539" s="40">
        <f>IF(AQ539="5",BJ539,0)</f>
        <v>0</v>
      </c>
      <c r="AB539" s="40">
        <f>IF(AQ539="1",BH539,0)</f>
        <v>0</v>
      </c>
      <c r="AC539" s="40">
        <f>IF(AQ539="1",BI539,0)</f>
        <v>0</v>
      </c>
      <c r="AD539" s="40">
        <f>IF(AQ539="7",BH539,0)</f>
        <v>0</v>
      </c>
      <c r="AE539" s="40">
        <f>IF(AQ539="7",BI539,0)</f>
        <v>0</v>
      </c>
      <c r="AF539" s="40">
        <f>IF(AQ539="2",BH539,0)</f>
        <v>0</v>
      </c>
      <c r="AG539" s="40">
        <f>IF(AQ539="2",BI539,0)</f>
        <v>0</v>
      </c>
      <c r="AH539" s="40">
        <f>IF(AQ539="0",BJ539,0)</f>
        <v>0</v>
      </c>
      <c r="AI539" s="11" t="s">
        <v>1121</v>
      </c>
      <c r="AJ539" s="40">
        <f>IF(AN539=0,L539,0)</f>
        <v>0</v>
      </c>
      <c r="AK539" s="40">
        <f>IF(AN539=15,L539,0)</f>
        <v>0</v>
      </c>
      <c r="AL539" s="40">
        <f>IF(AN539=21,L539,0)</f>
        <v>0</v>
      </c>
      <c r="AN539" s="40">
        <v>21</v>
      </c>
      <c r="AO539" s="40">
        <f>I539*0.88329592818211</f>
        <v>0</v>
      </c>
      <c r="AP539" s="40">
        <f>I539*(1-0.88329592818211)</f>
        <v>0</v>
      </c>
      <c r="AQ539" s="17" t="s">
        <v>1260</v>
      </c>
      <c r="AV539" s="40">
        <f>AW539+AX539</f>
        <v>0</v>
      </c>
      <c r="AW539" s="40">
        <f>H539*AO539</f>
        <v>0</v>
      </c>
      <c r="AX539" s="40">
        <f>H539*AP539</f>
        <v>0</v>
      </c>
      <c r="AY539" s="17" t="s">
        <v>492</v>
      </c>
      <c r="AZ539" s="17" t="s">
        <v>1049</v>
      </c>
      <c r="BA539" s="11" t="s">
        <v>475</v>
      </c>
      <c r="BC539" s="40">
        <f>AW539+AX539</f>
        <v>0</v>
      </c>
      <c r="BD539" s="40">
        <f>I539/(100-BE539)*100</f>
        <v>0</v>
      </c>
      <c r="BE539" s="40">
        <v>0</v>
      </c>
      <c r="BF539" s="40">
        <f>539</f>
        <v>539</v>
      </c>
      <c r="BH539" s="40">
        <f>H539*AO539</f>
        <v>0</v>
      </c>
      <c r="BI539" s="40">
        <f>H539*AP539</f>
        <v>0</v>
      </c>
      <c r="BJ539" s="40">
        <f>H539*I539</f>
        <v>0</v>
      </c>
      <c r="BK539" s="40"/>
      <c r="BL539" s="40">
        <v>57</v>
      </c>
    </row>
    <row r="540" spans="1:64" ht="15" customHeight="1">
      <c r="A540" s="19" t="s">
        <v>1055</v>
      </c>
      <c r="B540" s="59" t="s">
        <v>1030</v>
      </c>
      <c r="C540" s="76" t="s">
        <v>936</v>
      </c>
      <c r="D540" s="76"/>
      <c r="E540" s="76"/>
      <c r="F540" s="76"/>
      <c r="G540" s="59" t="s">
        <v>1243</v>
      </c>
      <c r="H540" s="40">
        <v>495</v>
      </c>
      <c r="I540" s="40">
        <v>0</v>
      </c>
      <c r="J540" s="40">
        <f>H540*AO540</f>
        <v>0</v>
      </c>
      <c r="K540" s="40">
        <f>H540*AP540</f>
        <v>0</v>
      </c>
      <c r="L540" s="40">
        <f>H540*I540</f>
        <v>0</v>
      </c>
      <c r="M540" s="69" t="s">
        <v>868</v>
      </c>
      <c r="Z540" s="40">
        <f>IF(AQ540="5",BJ540,0)</f>
        <v>0</v>
      </c>
      <c r="AB540" s="40">
        <f>IF(AQ540="1",BH540,0)</f>
        <v>0</v>
      </c>
      <c r="AC540" s="40">
        <f>IF(AQ540="1",BI540,0)</f>
        <v>0</v>
      </c>
      <c r="AD540" s="40">
        <f>IF(AQ540="7",BH540,0)</f>
        <v>0</v>
      </c>
      <c r="AE540" s="40">
        <f>IF(AQ540="7",BI540,0)</f>
        <v>0</v>
      </c>
      <c r="AF540" s="40">
        <f>IF(AQ540="2",BH540,0)</f>
        <v>0</v>
      </c>
      <c r="AG540" s="40">
        <f>IF(AQ540="2",BI540,0)</f>
        <v>0</v>
      </c>
      <c r="AH540" s="40">
        <f>IF(AQ540="0",BJ540,0)</f>
        <v>0</v>
      </c>
      <c r="AI540" s="11" t="s">
        <v>1121</v>
      </c>
      <c r="AJ540" s="40">
        <f>IF(AN540=0,L540,0)</f>
        <v>0</v>
      </c>
      <c r="AK540" s="40">
        <f>IF(AN540=15,L540,0)</f>
        <v>0</v>
      </c>
      <c r="AL540" s="40">
        <f>IF(AN540=21,L540,0)</f>
        <v>0</v>
      </c>
      <c r="AN540" s="40">
        <v>21</v>
      </c>
      <c r="AO540" s="40">
        <f>I540*0.748622222222222</f>
        <v>0</v>
      </c>
      <c r="AP540" s="40">
        <f>I540*(1-0.748622222222222)</f>
        <v>0</v>
      </c>
      <c r="AQ540" s="17" t="s">
        <v>1260</v>
      </c>
      <c r="AV540" s="40">
        <f>AW540+AX540</f>
        <v>0</v>
      </c>
      <c r="AW540" s="40">
        <f>H540*AO540</f>
        <v>0</v>
      </c>
      <c r="AX540" s="40">
        <f>H540*AP540</f>
        <v>0</v>
      </c>
      <c r="AY540" s="17" t="s">
        <v>492</v>
      </c>
      <c r="AZ540" s="17" t="s">
        <v>1049</v>
      </c>
      <c r="BA540" s="11" t="s">
        <v>475</v>
      </c>
      <c r="BC540" s="40">
        <f>AW540+AX540</f>
        <v>0</v>
      </c>
      <c r="BD540" s="40">
        <f>I540/(100-BE540)*100</f>
        <v>0</v>
      </c>
      <c r="BE540" s="40">
        <v>0</v>
      </c>
      <c r="BF540" s="40">
        <f>540</f>
        <v>540</v>
      </c>
      <c r="BH540" s="40">
        <f>H540*AO540</f>
        <v>0</v>
      </c>
      <c r="BI540" s="40">
        <f>H540*AP540</f>
        <v>0</v>
      </c>
      <c r="BJ540" s="40">
        <f>H540*I540</f>
        <v>0</v>
      </c>
      <c r="BK540" s="40"/>
      <c r="BL540" s="40">
        <v>57</v>
      </c>
    </row>
    <row r="541" spans="1:64" ht="15" customHeight="1">
      <c r="A541" s="19" t="s">
        <v>603</v>
      </c>
      <c r="B541" s="59" t="s">
        <v>1185</v>
      </c>
      <c r="C541" s="76" t="s">
        <v>134</v>
      </c>
      <c r="D541" s="76"/>
      <c r="E541" s="76"/>
      <c r="F541" s="76"/>
      <c r="G541" s="59" t="s">
        <v>1243</v>
      </c>
      <c r="H541" s="40">
        <v>495</v>
      </c>
      <c r="I541" s="40">
        <v>0</v>
      </c>
      <c r="J541" s="40">
        <f>H541*AO541</f>
        <v>0</v>
      </c>
      <c r="K541" s="40">
        <f>H541*AP541</f>
        <v>0</v>
      </c>
      <c r="L541" s="40">
        <f>H541*I541</f>
        <v>0</v>
      </c>
      <c r="M541" s="69" t="s">
        <v>868</v>
      </c>
      <c r="Z541" s="40">
        <f>IF(AQ541="5",BJ541,0)</f>
        <v>0</v>
      </c>
      <c r="AB541" s="40">
        <f>IF(AQ541="1",BH541,0)</f>
        <v>0</v>
      </c>
      <c r="AC541" s="40">
        <f>IF(AQ541="1",BI541,0)</f>
        <v>0</v>
      </c>
      <c r="AD541" s="40">
        <f>IF(AQ541="7",BH541,0)</f>
        <v>0</v>
      </c>
      <c r="AE541" s="40">
        <f>IF(AQ541="7",BI541,0)</f>
        <v>0</v>
      </c>
      <c r="AF541" s="40">
        <f>IF(AQ541="2",BH541,0)</f>
        <v>0</v>
      </c>
      <c r="AG541" s="40">
        <f>IF(AQ541="2",BI541,0)</f>
        <v>0</v>
      </c>
      <c r="AH541" s="40">
        <f>IF(AQ541="0",BJ541,0)</f>
        <v>0</v>
      </c>
      <c r="AI541" s="11" t="s">
        <v>1121</v>
      </c>
      <c r="AJ541" s="40">
        <f>IF(AN541=0,L541,0)</f>
        <v>0</v>
      </c>
      <c r="AK541" s="40">
        <f>IF(AN541=15,L541,0)</f>
        <v>0</v>
      </c>
      <c r="AL541" s="40">
        <f>IF(AN541=21,L541,0)</f>
        <v>0</v>
      </c>
      <c r="AN541" s="40">
        <v>21</v>
      </c>
      <c r="AO541" s="40">
        <f>I541*0.901999292285917</f>
        <v>0</v>
      </c>
      <c r="AP541" s="40">
        <f>I541*(1-0.901999292285917)</f>
        <v>0</v>
      </c>
      <c r="AQ541" s="17" t="s">
        <v>1260</v>
      </c>
      <c r="AV541" s="40">
        <f>AW541+AX541</f>
        <v>0</v>
      </c>
      <c r="AW541" s="40">
        <f>H541*AO541</f>
        <v>0</v>
      </c>
      <c r="AX541" s="40">
        <f>H541*AP541</f>
        <v>0</v>
      </c>
      <c r="AY541" s="17" t="s">
        <v>492</v>
      </c>
      <c r="AZ541" s="17" t="s">
        <v>1049</v>
      </c>
      <c r="BA541" s="11" t="s">
        <v>475</v>
      </c>
      <c r="BC541" s="40">
        <f>AW541+AX541</f>
        <v>0</v>
      </c>
      <c r="BD541" s="40">
        <f>I541/(100-BE541)*100</f>
        <v>0</v>
      </c>
      <c r="BE541" s="40">
        <v>0</v>
      </c>
      <c r="BF541" s="40">
        <f>541</f>
        <v>541</v>
      </c>
      <c r="BH541" s="40">
        <f>H541*AO541</f>
        <v>0</v>
      </c>
      <c r="BI541" s="40">
        <f>H541*AP541</f>
        <v>0</v>
      </c>
      <c r="BJ541" s="40">
        <f>H541*I541</f>
        <v>0</v>
      </c>
      <c r="BK541" s="40"/>
      <c r="BL541" s="40">
        <v>57</v>
      </c>
    </row>
    <row r="542" spans="1:47" ht="15" customHeight="1">
      <c r="A542" s="24" t="s">
        <v>878</v>
      </c>
      <c r="B542" s="66" t="s">
        <v>558</v>
      </c>
      <c r="C542" s="92" t="s">
        <v>1193</v>
      </c>
      <c r="D542" s="92"/>
      <c r="E542" s="92"/>
      <c r="F542" s="92"/>
      <c r="G542" s="3" t="s">
        <v>1172</v>
      </c>
      <c r="H542" s="3" t="s">
        <v>1172</v>
      </c>
      <c r="I542" s="3" t="s">
        <v>1172</v>
      </c>
      <c r="J542" s="63">
        <f>SUM(J543:J545)</f>
        <v>0</v>
      </c>
      <c r="K542" s="63">
        <f>SUM(K543:K545)</f>
        <v>0</v>
      </c>
      <c r="L542" s="63">
        <f>SUM(L543:L545)</f>
        <v>0</v>
      </c>
      <c r="M542" s="4" t="s">
        <v>878</v>
      </c>
      <c r="AI542" s="11" t="s">
        <v>1121</v>
      </c>
      <c r="AS542" s="63">
        <f>SUM(AJ543:AJ545)</f>
        <v>0</v>
      </c>
      <c r="AT542" s="63">
        <f>SUM(AK543:AK545)</f>
        <v>0</v>
      </c>
      <c r="AU542" s="63">
        <f>SUM(AL543:AL545)</f>
        <v>0</v>
      </c>
    </row>
    <row r="543" spans="1:64" ht="15" customHeight="1">
      <c r="A543" s="19" t="s">
        <v>1301</v>
      </c>
      <c r="B543" s="59" t="s">
        <v>41</v>
      </c>
      <c r="C543" s="76" t="s">
        <v>261</v>
      </c>
      <c r="D543" s="76"/>
      <c r="E543" s="76"/>
      <c r="F543" s="76"/>
      <c r="G543" s="59" t="s">
        <v>1243</v>
      </c>
      <c r="H543" s="40">
        <v>545</v>
      </c>
      <c r="I543" s="40">
        <v>0</v>
      </c>
      <c r="J543" s="40">
        <f>H543*AO543</f>
        <v>0</v>
      </c>
      <c r="K543" s="40">
        <f>H543*AP543</f>
        <v>0</v>
      </c>
      <c r="L543" s="40">
        <f>H543*I543</f>
        <v>0</v>
      </c>
      <c r="M543" s="69" t="s">
        <v>868</v>
      </c>
      <c r="Z543" s="40">
        <f>IF(AQ543="5",BJ543,0)</f>
        <v>0</v>
      </c>
      <c r="AB543" s="40">
        <f>IF(AQ543="1",BH543,0)</f>
        <v>0</v>
      </c>
      <c r="AC543" s="40">
        <f>IF(AQ543="1",BI543,0)</f>
        <v>0</v>
      </c>
      <c r="AD543" s="40">
        <f>IF(AQ543="7",BH543,0)</f>
        <v>0</v>
      </c>
      <c r="AE543" s="40">
        <f>IF(AQ543="7",BI543,0)</f>
        <v>0</v>
      </c>
      <c r="AF543" s="40">
        <f>IF(AQ543="2",BH543,0)</f>
        <v>0</v>
      </c>
      <c r="AG543" s="40">
        <f>IF(AQ543="2",BI543,0)</f>
        <v>0</v>
      </c>
      <c r="AH543" s="40">
        <f>IF(AQ543="0",BJ543,0)</f>
        <v>0</v>
      </c>
      <c r="AI543" s="11" t="s">
        <v>1121</v>
      </c>
      <c r="AJ543" s="40">
        <f>IF(AN543=0,L543,0)</f>
        <v>0</v>
      </c>
      <c r="AK543" s="40">
        <f>IF(AN543=15,L543,0)</f>
        <v>0</v>
      </c>
      <c r="AL543" s="40">
        <f>IF(AN543=21,L543,0)</f>
        <v>0</v>
      </c>
      <c r="AN543" s="40">
        <v>21</v>
      </c>
      <c r="AO543" s="40">
        <f>I543*0.531881896166418</f>
        <v>0</v>
      </c>
      <c r="AP543" s="40">
        <f>I543*(1-0.531881896166418)</f>
        <v>0</v>
      </c>
      <c r="AQ543" s="17" t="s">
        <v>1260</v>
      </c>
      <c r="AV543" s="40">
        <f>AW543+AX543</f>
        <v>0</v>
      </c>
      <c r="AW543" s="40">
        <f>H543*AO543</f>
        <v>0</v>
      </c>
      <c r="AX543" s="40">
        <f>H543*AP543</f>
        <v>0</v>
      </c>
      <c r="AY543" s="17" t="s">
        <v>1246</v>
      </c>
      <c r="AZ543" s="17" t="s">
        <v>1049</v>
      </c>
      <c r="BA543" s="11" t="s">
        <v>475</v>
      </c>
      <c r="BC543" s="40">
        <f>AW543+AX543</f>
        <v>0</v>
      </c>
      <c r="BD543" s="40">
        <f>I543/(100-BE543)*100</f>
        <v>0</v>
      </c>
      <c r="BE543" s="40">
        <v>0</v>
      </c>
      <c r="BF543" s="40">
        <f>543</f>
        <v>543</v>
      </c>
      <c r="BH543" s="40">
        <f>H543*AO543</f>
        <v>0</v>
      </c>
      <c r="BI543" s="40">
        <f>H543*AP543</f>
        <v>0</v>
      </c>
      <c r="BJ543" s="40">
        <f>H543*I543</f>
        <v>0</v>
      </c>
      <c r="BK543" s="40"/>
      <c r="BL543" s="40">
        <v>59</v>
      </c>
    </row>
    <row r="544" spans="1:64" ht="15" customHeight="1">
      <c r="A544" s="19" t="s">
        <v>530</v>
      </c>
      <c r="B544" s="59" t="s">
        <v>1258</v>
      </c>
      <c r="C544" s="76" t="s">
        <v>850</v>
      </c>
      <c r="D544" s="76"/>
      <c r="E544" s="76"/>
      <c r="F544" s="76"/>
      <c r="G544" s="59" t="s">
        <v>1243</v>
      </c>
      <c r="H544" s="40">
        <v>1945</v>
      </c>
      <c r="I544" s="40">
        <v>0</v>
      </c>
      <c r="J544" s="40">
        <f>H544*AO544</f>
        <v>0</v>
      </c>
      <c r="K544" s="40">
        <f>H544*AP544</f>
        <v>0</v>
      </c>
      <c r="L544" s="40">
        <f>H544*I544</f>
        <v>0</v>
      </c>
      <c r="M544" s="69" t="s">
        <v>868</v>
      </c>
      <c r="Z544" s="40">
        <f>IF(AQ544="5",BJ544,0)</f>
        <v>0</v>
      </c>
      <c r="AB544" s="40">
        <f>IF(AQ544="1",BH544,0)</f>
        <v>0</v>
      </c>
      <c r="AC544" s="40">
        <f>IF(AQ544="1",BI544,0)</f>
        <v>0</v>
      </c>
      <c r="AD544" s="40">
        <f>IF(AQ544="7",BH544,0)</f>
        <v>0</v>
      </c>
      <c r="AE544" s="40">
        <f>IF(AQ544="7",BI544,0)</f>
        <v>0</v>
      </c>
      <c r="AF544" s="40">
        <f>IF(AQ544="2",BH544,0)</f>
        <v>0</v>
      </c>
      <c r="AG544" s="40">
        <f>IF(AQ544="2",BI544,0)</f>
        <v>0</v>
      </c>
      <c r="AH544" s="40">
        <f>IF(AQ544="0",BJ544,0)</f>
        <v>0</v>
      </c>
      <c r="AI544" s="11" t="s">
        <v>1121</v>
      </c>
      <c r="AJ544" s="40">
        <f>IF(AN544=0,L544,0)</f>
        <v>0</v>
      </c>
      <c r="AK544" s="40">
        <f>IF(AN544=15,L544,0)</f>
        <v>0</v>
      </c>
      <c r="AL544" s="40">
        <f>IF(AN544=21,L544,0)</f>
        <v>0</v>
      </c>
      <c r="AN544" s="40">
        <v>21</v>
      </c>
      <c r="AO544" s="40">
        <f>I544*0.627720562492706</f>
        <v>0</v>
      </c>
      <c r="AP544" s="40">
        <f>I544*(1-0.627720562492706)</f>
        <v>0</v>
      </c>
      <c r="AQ544" s="17" t="s">
        <v>1260</v>
      </c>
      <c r="AV544" s="40">
        <f>AW544+AX544</f>
        <v>0</v>
      </c>
      <c r="AW544" s="40">
        <f>H544*AO544</f>
        <v>0</v>
      </c>
      <c r="AX544" s="40">
        <f>H544*AP544</f>
        <v>0</v>
      </c>
      <c r="AY544" s="17" t="s">
        <v>1246</v>
      </c>
      <c r="AZ544" s="17" t="s">
        <v>1049</v>
      </c>
      <c r="BA544" s="11" t="s">
        <v>475</v>
      </c>
      <c r="BC544" s="40">
        <f>AW544+AX544</f>
        <v>0</v>
      </c>
      <c r="BD544" s="40">
        <f>I544/(100-BE544)*100</f>
        <v>0</v>
      </c>
      <c r="BE544" s="40">
        <v>0</v>
      </c>
      <c r="BF544" s="40">
        <f>544</f>
        <v>544</v>
      </c>
      <c r="BH544" s="40">
        <f>H544*AO544</f>
        <v>0</v>
      </c>
      <c r="BI544" s="40">
        <f>H544*AP544</f>
        <v>0</v>
      </c>
      <c r="BJ544" s="40">
        <f>H544*I544</f>
        <v>0</v>
      </c>
      <c r="BK544" s="40"/>
      <c r="BL544" s="40">
        <v>59</v>
      </c>
    </row>
    <row r="545" spans="1:64" ht="15" customHeight="1">
      <c r="A545" s="19" t="s">
        <v>837</v>
      </c>
      <c r="B545" s="59" t="s">
        <v>222</v>
      </c>
      <c r="C545" s="76" t="s">
        <v>954</v>
      </c>
      <c r="D545" s="76"/>
      <c r="E545" s="76"/>
      <c r="F545" s="76"/>
      <c r="G545" s="59" t="s">
        <v>1243</v>
      </c>
      <c r="H545" s="40">
        <v>101</v>
      </c>
      <c r="I545" s="40">
        <v>0</v>
      </c>
      <c r="J545" s="40">
        <f>H545*AO545</f>
        <v>0</v>
      </c>
      <c r="K545" s="40">
        <f>H545*AP545</f>
        <v>0</v>
      </c>
      <c r="L545" s="40">
        <f>H545*I545</f>
        <v>0</v>
      </c>
      <c r="M545" s="69" t="s">
        <v>868</v>
      </c>
      <c r="Z545" s="40">
        <f>IF(AQ545="5",BJ545,0)</f>
        <v>0</v>
      </c>
      <c r="AB545" s="40">
        <f>IF(AQ545="1",BH545,0)</f>
        <v>0</v>
      </c>
      <c r="AC545" s="40">
        <f>IF(AQ545="1",BI545,0)</f>
        <v>0</v>
      </c>
      <c r="AD545" s="40">
        <f>IF(AQ545="7",BH545,0)</f>
        <v>0</v>
      </c>
      <c r="AE545" s="40">
        <f>IF(AQ545="7",BI545,0)</f>
        <v>0</v>
      </c>
      <c r="AF545" s="40">
        <f>IF(AQ545="2",BH545,0)</f>
        <v>0</v>
      </c>
      <c r="AG545" s="40">
        <f>IF(AQ545="2",BI545,0)</f>
        <v>0</v>
      </c>
      <c r="AH545" s="40">
        <f>IF(AQ545="0",BJ545,0)</f>
        <v>0</v>
      </c>
      <c r="AI545" s="11" t="s">
        <v>1121</v>
      </c>
      <c r="AJ545" s="40">
        <f>IF(AN545=0,L545,0)</f>
        <v>0</v>
      </c>
      <c r="AK545" s="40">
        <f>IF(AN545=15,L545,0)</f>
        <v>0</v>
      </c>
      <c r="AL545" s="40">
        <f>IF(AN545=21,L545,0)</f>
        <v>0</v>
      </c>
      <c r="AN545" s="40">
        <v>21</v>
      </c>
      <c r="AO545" s="40">
        <f>I545*0.53979172460678</f>
        <v>0</v>
      </c>
      <c r="AP545" s="40">
        <f>I545*(1-0.53979172460678)</f>
        <v>0</v>
      </c>
      <c r="AQ545" s="17" t="s">
        <v>1260</v>
      </c>
      <c r="AV545" s="40">
        <f>AW545+AX545</f>
        <v>0</v>
      </c>
      <c r="AW545" s="40">
        <f>H545*AO545</f>
        <v>0</v>
      </c>
      <c r="AX545" s="40">
        <f>H545*AP545</f>
        <v>0</v>
      </c>
      <c r="AY545" s="17" t="s">
        <v>1246</v>
      </c>
      <c r="AZ545" s="17" t="s">
        <v>1049</v>
      </c>
      <c r="BA545" s="11" t="s">
        <v>475</v>
      </c>
      <c r="BC545" s="40">
        <f>AW545+AX545</f>
        <v>0</v>
      </c>
      <c r="BD545" s="40">
        <f>I545/(100-BE545)*100</f>
        <v>0</v>
      </c>
      <c r="BE545" s="40">
        <v>0</v>
      </c>
      <c r="BF545" s="40">
        <f>545</f>
        <v>545</v>
      </c>
      <c r="BH545" s="40">
        <f>H545*AO545</f>
        <v>0</v>
      </c>
      <c r="BI545" s="40">
        <f>H545*AP545</f>
        <v>0</v>
      </c>
      <c r="BJ545" s="40">
        <f>H545*I545</f>
        <v>0</v>
      </c>
      <c r="BK545" s="40"/>
      <c r="BL545" s="40">
        <v>59</v>
      </c>
    </row>
    <row r="546" spans="1:13" ht="13.5" customHeight="1">
      <c r="A546" s="67"/>
      <c r="B546" s="18" t="s">
        <v>114</v>
      </c>
      <c r="C546" s="93" t="s">
        <v>163</v>
      </c>
      <c r="D546" s="94"/>
      <c r="E546" s="94"/>
      <c r="F546" s="94"/>
      <c r="G546" s="94"/>
      <c r="H546" s="94"/>
      <c r="I546" s="94"/>
      <c r="J546" s="94"/>
      <c r="K546" s="94"/>
      <c r="L546" s="94"/>
      <c r="M546" s="95"/>
    </row>
    <row r="547" spans="1:47" ht="15" customHeight="1">
      <c r="A547" s="24" t="s">
        <v>878</v>
      </c>
      <c r="B547" s="66" t="s">
        <v>61</v>
      </c>
      <c r="C547" s="92" t="s">
        <v>444</v>
      </c>
      <c r="D547" s="92"/>
      <c r="E547" s="92"/>
      <c r="F547" s="92"/>
      <c r="G547" s="3" t="s">
        <v>1172</v>
      </c>
      <c r="H547" s="3" t="s">
        <v>1172</v>
      </c>
      <c r="I547" s="3" t="s">
        <v>1172</v>
      </c>
      <c r="J547" s="63">
        <f>SUM(J548:J556)</f>
        <v>0</v>
      </c>
      <c r="K547" s="63">
        <f>SUM(K548:K556)</f>
        <v>0</v>
      </c>
      <c r="L547" s="63">
        <f>SUM(L548:L556)</f>
        <v>0</v>
      </c>
      <c r="M547" s="4" t="s">
        <v>878</v>
      </c>
      <c r="AI547" s="11" t="s">
        <v>1121</v>
      </c>
      <c r="AS547" s="63">
        <f>SUM(AJ548:AJ556)</f>
        <v>0</v>
      </c>
      <c r="AT547" s="63">
        <f>SUM(AK548:AK556)</f>
        <v>0</v>
      </c>
      <c r="AU547" s="63">
        <f>SUM(AL548:AL556)</f>
        <v>0</v>
      </c>
    </row>
    <row r="548" spans="1:64" ht="15" customHeight="1">
      <c r="A548" s="19" t="s">
        <v>1199</v>
      </c>
      <c r="B548" s="59" t="s">
        <v>858</v>
      </c>
      <c r="C548" s="76" t="s">
        <v>524</v>
      </c>
      <c r="D548" s="76"/>
      <c r="E548" s="76"/>
      <c r="F548" s="76"/>
      <c r="G548" s="59" t="s">
        <v>312</v>
      </c>
      <c r="H548" s="40">
        <v>16</v>
      </c>
      <c r="I548" s="40">
        <v>0</v>
      </c>
      <c r="J548" s="40">
        <f aca="true" t="shared" si="408" ref="J548:J556">H548*AO548</f>
        <v>0</v>
      </c>
      <c r="K548" s="40">
        <f aca="true" t="shared" si="409" ref="K548:K556">H548*AP548</f>
        <v>0</v>
      </c>
      <c r="L548" s="40">
        <f aca="true" t="shared" si="410" ref="L548:L556">H548*I548</f>
        <v>0</v>
      </c>
      <c r="M548" s="69" t="s">
        <v>868</v>
      </c>
      <c r="Z548" s="40">
        <f aca="true" t="shared" si="411" ref="Z548:Z556">IF(AQ548="5",BJ548,0)</f>
        <v>0</v>
      </c>
      <c r="AB548" s="40">
        <f aca="true" t="shared" si="412" ref="AB548:AB556">IF(AQ548="1",BH548,0)</f>
        <v>0</v>
      </c>
      <c r="AC548" s="40">
        <f aca="true" t="shared" si="413" ref="AC548:AC556">IF(AQ548="1",BI548,0)</f>
        <v>0</v>
      </c>
      <c r="AD548" s="40">
        <f aca="true" t="shared" si="414" ref="AD548:AD556">IF(AQ548="7",BH548,0)</f>
        <v>0</v>
      </c>
      <c r="AE548" s="40">
        <f aca="true" t="shared" si="415" ref="AE548:AE556">IF(AQ548="7",BI548,0)</f>
        <v>0</v>
      </c>
      <c r="AF548" s="40">
        <f aca="true" t="shared" si="416" ref="AF548:AF556">IF(AQ548="2",BH548,0)</f>
        <v>0</v>
      </c>
      <c r="AG548" s="40">
        <f aca="true" t="shared" si="417" ref="AG548:AG556">IF(AQ548="2",BI548,0)</f>
        <v>0</v>
      </c>
      <c r="AH548" s="40">
        <f aca="true" t="shared" si="418" ref="AH548:AH556">IF(AQ548="0",BJ548,0)</f>
        <v>0</v>
      </c>
      <c r="AI548" s="11" t="s">
        <v>1121</v>
      </c>
      <c r="AJ548" s="40">
        <f aca="true" t="shared" si="419" ref="AJ548:AJ556">IF(AN548=0,L548,0)</f>
        <v>0</v>
      </c>
      <c r="AK548" s="40">
        <f aca="true" t="shared" si="420" ref="AK548:AK556">IF(AN548=15,L548,0)</f>
        <v>0</v>
      </c>
      <c r="AL548" s="40">
        <f aca="true" t="shared" si="421" ref="AL548:AL556">IF(AN548=21,L548,0)</f>
        <v>0</v>
      </c>
      <c r="AN548" s="40">
        <v>21</v>
      </c>
      <c r="AO548" s="40">
        <f>I548*0.829773656706836</f>
        <v>0</v>
      </c>
      <c r="AP548" s="40">
        <f>I548*(1-0.829773656706836)</f>
        <v>0</v>
      </c>
      <c r="AQ548" s="17" t="s">
        <v>1260</v>
      </c>
      <c r="AV548" s="40">
        <f aca="true" t="shared" si="422" ref="AV548:AV556">AW548+AX548</f>
        <v>0</v>
      </c>
      <c r="AW548" s="40">
        <f aca="true" t="shared" si="423" ref="AW548:AW556">H548*AO548</f>
        <v>0</v>
      </c>
      <c r="AX548" s="40">
        <f aca="true" t="shared" si="424" ref="AX548:AX556">H548*AP548</f>
        <v>0</v>
      </c>
      <c r="AY548" s="17" t="s">
        <v>1233</v>
      </c>
      <c r="AZ548" s="17" t="s">
        <v>756</v>
      </c>
      <c r="BA548" s="11" t="s">
        <v>475</v>
      </c>
      <c r="BC548" s="40">
        <f aca="true" t="shared" si="425" ref="BC548:BC556">AW548+AX548</f>
        <v>0</v>
      </c>
      <c r="BD548" s="40">
        <f aca="true" t="shared" si="426" ref="BD548:BD556">I548/(100-BE548)*100</f>
        <v>0</v>
      </c>
      <c r="BE548" s="40">
        <v>0</v>
      </c>
      <c r="BF548" s="40">
        <f>548</f>
        <v>548</v>
      </c>
      <c r="BH548" s="40">
        <f aca="true" t="shared" si="427" ref="BH548:BH556">H548*AO548</f>
        <v>0</v>
      </c>
      <c r="BI548" s="40">
        <f aca="true" t="shared" si="428" ref="BI548:BI556">H548*AP548</f>
        <v>0</v>
      </c>
      <c r="BJ548" s="40">
        <f aca="true" t="shared" si="429" ref="BJ548:BJ556">H548*I548</f>
        <v>0</v>
      </c>
      <c r="BK548" s="40"/>
      <c r="BL548" s="40">
        <v>91</v>
      </c>
    </row>
    <row r="549" spans="1:64" ht="15" customHeight="1">
      <c r="A549" s="19" t="s">
        <v>992</v>
      </c>
      <c r="B549" s="59" t="s">
        <v>1323</v>
      </c>
      <c r="C549" s="76" t="s">
        <v>641</v>
      </c>
      <c r="D549" s="76"/>
      <c r="E549" s="76"/>
      <c r="F549" s="76"/>
      <c r="G549" s="59" t="s">
        <v>1041</v>
      </c>
      <c r="H549" s="40">
        <v>50</v>
      </c>
      <c r="I549" s="40">
        <v>0</v>
      </c>
      <c r="J549" s="40">
        <f t="shared" si="408"/>
        <v>0</v>
      </c>
      <c r="K549" s="40">
        <f t="shared" si="409"/>
        <v>0</v>
      </c>
      <c r="L549" s="40">
        <f t="shared" si="410"/>
        <v>0</v>
      </c>
      <c r="M549" s="69" t="s">
        <v>868</v>
      </c>
      <c r="Z549" s="40">
        <f t="shared" si="411"/>
        <v>0</v>
      </c>
      <c r="AB549" s="40">
        <f t="shared" si="412"/>
        <v>0</v>
      </c>
      <c r="AC549" s="40">
        <f t="shared" si="413"/>
        <v>0</v>
      </c>
      <c r="AD549" s="40">
        <f t="shared" si="414"/>
        <v>0</v>
      </c>
      <c r="AE549" s="40">
        <f t="shared" si="415"/>
        <v>0</v>
      </c>
      <c r="AF549" s="40">
        <f t="shared" si="416"/>
        <v>0</v>
      </c>
      <c r="AG549" s="40">
        <f t="shared" si="417"/>
        <v>0</v>
      </c>
      <c r="AH549" s="40">
        <f t="shared" si="418"/>
        <v>0</v>
      </c>
      <c r="AI549" s="11" t="s">
        <v>1121</v>
      </c>
      <c r="AJ549" s="40">
        <f t="shared" si="419"/>
        <v>0</v>
      </c>
      <c r="AK549" s="40">
        <f t="shared" si="420"/>
        <v>0</v>
      </c>
      <c r="AL549" s="40">
        <f t="shared" si="421"/>
        <v>0</v>
      </c>
      <c r="AN549" s="40">
        <v>21</v>
      </c>
      <c r="AO549" s="40">
        <f>I549*0.722036082474227</f>
        <v>0</v>
      </c>
      <c r="AP549" s="40">
        <f>I549*(1-0.722036082474227)</f>
        <v>0</v>
      </c>
      <c r="AQ549" s="17" t="s">
        <v>1260</v>
      </c>
      <c r="AV549" s="40">
        <f t="shared" si="422"/>
        <v>0</v>
      </c>
      <c r="AW549" s="40">
        <f t="shared" si="423"/>
        <v>0</v>
      </c>
      <c r="AX549" s="40">
        <f t="shared" si="424"/>
        <v>0</v>
      </c>
      <c r="AY549" s="17" t="s">
        <v>1233</v>
      </c>
      <c r="AZ549" s="17" t="s">
        <v>756</v>
      </c>
      <c r="BA549" s="11" t="s">
        <v>475</v>
      </c>
      <c r="BC549" s="40">
        <f t="shared" si="425"/>
        <v>0</v>
      </c>
      <c r="BD549" s="40">
        <f t="shared" si="426"/>
        <v>0</v>
      </c>
      <c r="BE549" s="40">
        <v>0</v>
      </c>
      <c r="BF549" s="40">
        <f>549</f>
        <v>549</v>
      </c>
      <c r="BH549" s="40">
        <f t="shared" si="427"/>
        <v>0</v>
      </c>
      <c r="BI549" s="40">
        <f t="shared" si="428"/>
        <v>0</v>
      </c>
      <c r="BJ549" s="40">
        <f t="shared" si="429"/>
        <v>0</v>
      </c>
      <c r="BK549" s="40"/>
      <c r="BL549" s="40">
        <v>91</v>
      </c>
    </row>
    <row r="550" spans="1:64" ht="15" customHeight="1">
      <c r="A550" s="19" t="s">
        <v>587</v>
      </c>
      <c r="B550" s="59" t="s">
        <v>1323</v>
      </c>
      <c r="C550" s="76" t="s">
        <v>641</v>
      </c>
      <c r="D550" s="76"/>
      <c r="E550" s="76"/>
      <c r="F550" s="76"/>
      <c r="G550" s="59" t="s">
        <v>1041</v>
      </c>
      <c r="H550" s="40">
        <v>60</v>
      </c>
      <c r="I550" s="40">
        <v>0</v>
      </c>
      <c r="J550" s="40">
        <f t="shared" si="408"/>
        <v>0</v>
      </c>
      <c r="K550" s="40">
        <f t="shared" si="409"/>
        <v>0</v>
      </c>
      <c r="L550" s="40">
        <f t="shared" si="410"/>
        <v>0</v>
      </c>
      <c r="M550" s="69" t="s">
        <v>868</v>
      </c>
      <c r="Z550" s="40">
        <f t="shared" si="411"/>
        <v>0</v>
      </c>
      <c r="AB550" s="40">
        <f t="shared" si="412"/>
        <v>0</v>
      </c>
      <c r="AC550" s="40">
        <f t="shared" si="413"/>
        <v>0</v>
      </c>
      <c r="AD550" s="40">
        <f t="shared" si="414"/>
        <v>0</v>
      </c>
      <c r="AE550" s="40">
        <f t="shared" si="415"/>
        <v>0</v>
      </c>
      <c r="AF550" s="40">
        <f t="shared" si="416"/>
        <v>0</v>
      </c>
      <c r="AG550" s="40">
        <f t="shared" si="417"/>
        <v>0</v>
      </c>
      <c r="AH550" s="40">
        <f t="shared" si="418"/>
        <v>0</v>
      </c>
      <c r="AI550" s="11" t="s">
        <v>1121</v>
      </c>
      <c r="AJ550" s="40">
        <f t="shared" si="419"/>
        <v>0</v>
      </c>
      <c r="AK550" s="40">
        <f t="shared" si="420"/>
        <v>0</v>
      </c>
      <c r="AL550" s="40">
        <f t="shared" si="421"/>
        <v>0</v>
      </c>
      <c r="AN550" s="40">
        <v>21</v>
      </c>
      <c r="AO550" s="40">
        <f>I550*0.722036082474227</f>
        <v>0</v>
      </c>
      <c r="AP550" s="40">
        <f>I550*(1-0.722036082474227)</f>
        <v>0</v>
      </c>
      <c r="AQ550" s="17" t="s">
        <v>1260</v>
      </c>
      <c r="AV550" s="40">
        <f t="shared" si="422"/>
        <v>0</v>
      </c>
      <c r="AW550" s="40">
        <f t="shared" si="423"/>
        <v>0</v>
      </c>
      <c r="AX550" s="40">
        <f t="shared" si="424"/>
        <v>0</v>
      </c>
      <c r="AY550" s="17" t="s">
        <v>1233</v>
      </c>
      <c r="AZ550" s="17" t="s">
        <v>756</v>
      </c>
      <c r="BA550" s="11" t="s">
        <v>475</v>
      </c>
      <c r="BC550" s="40">
        <f t="shared" si="425"/>
        <v>0</v>
      </c>
      <c r="BD550" s="40">
        <f t="shared" si="426"/>
        <v>0</v>
      </c>
      <c r="BE550" s="40">
        <v>0</v>
      </c>
      <c r="BF550" s="40">
        <f>550</f>
        <v>550</v>
      </c>
      <c r="BH550" s="40">
        <f t="shared" si="427"/>
        <v>0</v>
      </c>
      <c r="BI550" s="40">
        <f t="shared" si="428"/>
        <v>0</v>
      </c>
      <c r="BJ550" s="40">
        <f t="shared" si="429"/>
        <v>0</v>
      </c>
      <c r="BK550" s="40"/>
      <c r="BL550" s="40">
        <v>91</v>
      </c>
    </row>
    <row r="551" spans="1:64" ht="15" customHeight="1">
      <c r="A551" s="19" t="s">
        <v>890</v>
      </c>
      <c r="B551" s="59" t="s">
        <v>740</v>
      </c>
      <c r="C551" s="76" t="s">
        <v>277</v>
      </c>
      <c r="D551" s="76"/>
      <c r="E551" s="76"/>
      <c r="F551" s="76"/>
      <c r="G551" s="59" t="s">
        <v>1041</v>
      </c>
      <c r="H551" s="40">
        <v>120</v>
      </c>
      <c r="I551" s="40">
        <v>0</v>
      </c>
      <c r="J551" s="40">
        <f t="shared" si="408"/>
        <v>0</v>
      </c>
      <c r="K551" s="40">
        <f t="shared" si="409"/>
        <v>0</v>
      </c>
      <c r="L551" s="40">
        <f t="shared" si="410"/>
        <v>0</v>
      </c>
      <c r="M551" s="69" t="s">
        <v>868</v>
      </c>
      <c r="Z551" s="40">
        <f t="shared" si="411"/>
        <v>0</v>
      </c>
      <c r="AB551" s="40">
        <f t="shared" si="412"/>
        <v>0</v>
      </c>
      <c r="AC551" s="40">
        <f t="shared" si="413"/>
        <v>0</v>
      </c>
      <c r="AD551" s="40">
        <f t="shared" si="414"/>
        <v>0</v>
      </c>
      <c r="AE551" s="40">
        <f t="shared" si="415"/>
        <v>0</v>
      </c>
      <c r="AF551" s="40">
        <f t="shared" si="416"/>
        <v>0</v>
      </c>
      <c r="AG551" s="40">
        <f t="shared" si="417"/>
        <v>0</v>
      </c>
      <c r="AH551" s="40">
        <f t="shared" si="418"/>
        <v>0</v>
      </c>
      <c r="AI551" s="11" t="s">
        <v>1121</v>
      </c>
      <c r="AJ551" s="40">
        <f t="shared" si="419"/>
        <v>0</v>
      </c>
      <c r="AK551" s="40">
        <f t="shared" si="420"/>
        <v>0</v>
      </c>
      <c r="AL551" s="40">
        <f t="shared" si="421"/>
        <v>0</v>
      </c>
      <c r="AN551" s="40">
        <v>21</v>
      </c>
      <c r="AO551" s="40">
        <f>I551*0.756455142231947</f>
        <v>0</v>
      </c>
      <c r="AP551" s="40">
        <f>I551*(1-0.756455142231947)</f>
        <v>0</v>
      </c>
      <c r="AQ551" s="17" t="s">
        <v>1260</v>
      </c>
      <c r="AV551" s="40">
        <f t="shared" si="422"/>
        <v>0</v>
      </c>
      <c r="AW551" s="40">
        <f t="shared" si="423"/>
        <v>0</v>
      </c>
      <c r="AX551" s="40">
        <f t="shared" si="424"/>
        <v>0</v>
      </c>
      <c r="AY551" s="17" t="s">
        <v>1233</v>
      </c>
      <c r="AZ551" s="17" t="s">
        <v>756</v>
      </c>
      <c r="BA551" s="11" t="s">
        <v>475</v>
      </c>
      <c r="BC551" s="40">
        <f t="shared" si="425"/>
        <v>0</v>
      </c>
      <c r="BD551" s="40">
        <f t="shared" si="426"/>
        <v>0</v>
      </c>
      <c r="BE551" s="40">
        <v>0</v>
      </c>
      <c r="BF551" s="40">
        <f>551</f>
        <v>551</v>
      </c>
      <c r="BH551" s="40">
        <f t="shared" si="427"/>
        <v>0</v>
      </c>
      <c r="BI551" s="40">
        <f t="shared" si="428"/>
        <v>0</v>
      </c>
      <c r="BJ551" s="40">
        <f t="shared" si="429"/>
        <v>0</v>
      </c>
      <c r="BK551" s="40"/>
      <c r="BL551" s="40">
        <v>91</v>
      </c>
    </row>
    <row r="552" spans="1:64" ht="15" customHeight="1">
      <c r="A552" s="19" t="s">
        <v>1151</v>
      </c>
      <c r="B552" s="59" t="s">
        <v>588</v>
      </c>
      <c r="C552" s="76" t="s">
        <v>761</v>
      </c>
      <c r="D552" s="76"/>
      <c r="E552" s="76"/>
      <c r="F552" s="76"/>
      <c r="G552" s="59" t="s">
        <v>1243</v>
      </c>
      <c r="H552" s="40">
        <v>185</v>
      </c>
      <c r="I552" s="40">
        <v>0</v>
      </c>
      <c r="J552" s="40">
        <f t="shared" si="408"/>
        <v>0</v>
      </c>
      <c r="K552" s="40">
        <f t="shared" si="409"/>
        <v>0</v>
      </c>
      <c r="L552" s="40">
        <f t="shared" si="410"/>
        <v>0</v>
      </c>
      <c r="M552" s="69" t="s">
        <v>868</v>
      </c>
      <c r="Z552" s="40">
        <f t="shared" si="411"/>
        <v>0</v>
      </c>
      <c r="AB552" s="40">
        <f t="shared" si="412"/>
        <v>0</v>
      </c>
      <c r="AC552" s="40">
        <f t="shared" si="413"/>
        <v>0</v>
      </c>
      <c r="AD552" s="40">
        <f t="shared" si="414"/>
        <v>0</v>
      </c>
      <c r="AE552" s="40">
        <f t="shared" si="415"/>
        <v>0</v>
      </c>
      <c r="AF552" s="40">
        <f t="shared" si="416"/>
        <v>0</v>
      </c>
      <c r="AG552" s="40">
        <f t="shared" si="417"/>
        <v>0</v>
      </c>
      <c r="AH552" s="40">
        <f t="shared" si="418"/>
        <v>0</v>
      </c>
      <c r="AI552" s="11" t="s">
        <v>1121</v>
      </c>
      <c r="AJ552" s="40">
        <f t="shared" si="419"/>
        <v>0</v>
      </c>
      <c r="AK552" s="40">
        <f t="shared" si="420"/>
        <v>0</v>
      </c>
      <c r="AL552" s="40">
        <f t="shared" si="421"/>
        <v>0</v>
      </c>
      <c r="AN552" s="40">
        <v>21</v>
      </c>
      <c r="AO552" s="40">
        <f>I552*0.406936316695353</f>
        <v>0</v>
      </c>
      <c r="AP552" s="40">
        <f>I552*(1-0.406936316695353)</f>
        <v>0</v>
      </c>
      <c r="AQ552" s="17" t="s">
        <v>1260</v>
      </c>
      <c r="AV552" s="40">
        <f t="shared" si="422"/>
        <v>0</v>
      </c>
      <c r="AW552" s="40">
        <f t="shared" si="423"/>
        <v>0</v>
      </c>
      <c r="AX552" s="40">
        <f t="shared" si="424"/>
        <v>0</v>
      </c>
      <c r="AY552" s="17" t="s">
        <v>1233</v>
      </c>
      <c r="AZ552" s="17" t="s">
        <v>756</v>
      </c>
      <c r="BA552" s="11" t="s">
        <v>475</v>
      </c>
      <c r="BC552" s="40">
        <f t="shared" si="425"/>
        <v>0</v>
      </c>
      <c r="BD552" s="40">
        <f t="shared" si="426"/>
        <v>0</v>
      </c>
      <c r="BE552" s="40">
        <v>0</v>
      </c>
      <c r="BF552" s="40">
        <f>552</f>
        <v>552</v>
      </c>
      <c r="BH552" s="40">
        <f t="shared" si="427"/>
        <v>0</v>
      </c>
      <c r="BI552" s="40">
        <f t="shared" si="428"/>
        <v>0</v>
      </c>
      <c r="BJ552" s="40">
        <f t="shared" si="429"/>
        <v>0</v>
      </c>
      <c r="BK552" s="40"/>
      <c r="BL552" s="40">
        <v>91</v>
      </c>
    </row>
    <row r="553" spans="1:64" ht="15" customHeight="1">
      <c r="A553" s="19" t="s">
        <v>223</v>
      </c>
      <c r="B553" s="59" t="s">
        <v>1427</v>
      </c>
      <c r="C553" s="76" t="s">
        <v>19</v>
      </c>
      <c r="D553" s="76"/>
      <c r="E553" s="76"/>
      <c r="F553" s="76"/>
      <c r="G553" s="59" t="s">
        <v>1041</v>
      </c>
      <c r="H553" s="40">
        <v>1260</v>
      </c>
      <c r="I553" s="40">
        <v>0</v>
      </c>
      <c r="J553" s="40">
        <f t="shared" si="408"/>
        <v>0</v>
      </c>
      <c r="K553" s="40">
        <f t="shared" si="409"/>
        <v>0</v>
      </c>
      <c r="L553" s="40">
        <f t="shared" si="410"/>
        <v>0</v>
      </c>
      <c r="M553" s="69" t="s">
        <v>868</v>
      </c>
      <c r="Z553" s="40">
        <f t="shared" si="411"/>
        <v>0</v>
      </c>
      <c r="AB553" s="40">
        <f t="shared" si="412"/>
        <v>0</v>
      </c>
      <c r="AC553" s="40">
        <f t="shared" si="413"/>
        <v>0</v>
      </c>
      <c r="AD553" s="40">
        <f t="shared" si="414"/>
        <v>0</v>
      </c>
      <c r="AE553" s="40">
        <f t="shared" si="415"/>
        <v>0</v>
      </c>
      <c r="AF553" s="40">
        <f t="shared" si="416"/>
        <v>0</v>
      </c>
      <c r="AG553" s="40">
        <f t="shared" si="417"/>
        <v>0</v>
      </c>
      <c r="AH553" s="40">
        <f t="shared" si="418"/>
        <v>0</v>
      </c>
      <c r="AI553" s="11" t="s">
        <v>1121</v>
      </c>
      <c r="AJ553" s="40">
        <f t="shared" si="419"/>
        <v>0</v>
      </c>
      <c r="AK553" s="40">
        <f t="shared" si="420"/>
        <v>0</v>
      </c>
      <c r="AL553" s="40">
        <f t="shared" si="421"/>
        <v>0</v>
      </c>
      <c r="AN553" s="40">
        <v>21</v>
      </c>
      <c r="AO553" s="40">
        <f>I553*0.768586678307109</f>
        <v>0</v>
      </c>
      <c r="AP553" s="40">
        <f>I553*(1-0.768586678307109)</f>
        <v>0</v>
      </c>
      <c r="AQ553" s="17" t="s">
        <v>1260</v>
      </c>
      <c r="AV553" s="40">
        <f t="shared" si="422"/>
        <v>0</v>
      </c>
      <c r="AW553" s="40">
        <f t="shared" si="423"/>
        <v>0</v>
      </c>
      <c r="AX553" s="40">
        <f t="shared" si="424"/>
        <v>0</v>
      </c>
      <c r="AY553" s="17" t="s">
        <v>1233</v>
      </c>
      <c r="AZ553" s="17" t="s">
        <v>756</v>
      </c>
      <c r="BA553" s="11" t="s">
        <v>475</v>
      </c>
      <c r="BC553" s="40">
        <f t="shared" si="425"/>
        <v>0</v>
      </c>
      <c r="BD553" s="40">
        <f t="shared" si="426"/>
        <v>0</v>
      </c>
      <c r="BE553" s="40">
        <v>0</v>
      </c>
      <c r="BF553" s="40">
        <f>553</f>
        <v>553</v>
      </c>
      <c r="BH553" s="40">
        <f t="shared" si="427"/>
        <v>0</v>
      </c>
      <c r="BI553" s="40">
        <f t="shared" si="428"/>
        <v>0</v>
      </c>
      <c r="BJ553" s="40">
        <f t="shared" si="429"/>
        <v>0</v>
      </c>
      <c r="BK553" s="40"/>
      <c r="BL553" s="40">
        <v>91</v>
      </c>
    </row>
    <row r="554" spans="1:64" ht="15" customHeight="1">
      <c r="A554" s="19" t="s">
        <v>402</v>
      </c>
      <c r="B554" s="59" t="s">
        <v>101</v>
      </c>
      <c r="C554" s="76" t="s">
        <v>19</v>
      </c>
      <c r="D554" s="76"/>
      <c r="E554" s="76"/>
      <c r="F554" s="76"/>
      <c r="G554" s="59" t="s">
        <v>1041</v>
      </c>
      <c r="H554" s="40">
        <v>320</v>
      </c>
      <c r="I554" s="40">
        <v>0</v>
      </c>
      <c r="J554" s="40">
        <f t="shared" si="408"/>
        <v>0</v>
      </c>
      <c r="K554" s="40">
        <f t="shared" si="409"/>
        <v>0</v>
      </c>
      <c r="L554" s="40">
        <f t="shared" si="410"/>
        <v>0</v>
      </c>
      <c r="M554" s="69" t="s">
        <v>868</v>
      </c>
      <c r="Z554" s="40">
        <f t="shared" si="411"/>
        <v>0</v>
      </c>
      <c r="AB554" s="40">
        <f t="shared" si="412"/>
        <v>0</v>
      </c>
      <c r="AC554" s="40">
        <f t="shared" si="413"/>
        <v>0</v>
      </c>
      <c r="AD554" s="40">
        <f t="shared" si="414"/>
        <v>0</v>
      </c>
      <c r="AE554" s="40">
        <f t="shared" si="415"/>
        <v>0</v>
      </c>
      <c r="AF554" s="40">
        <f t="shared" si="416"/>
        <v>0</v>
      </c>
      <c r="AG554" s="40">
        <f t="shared" si="417"/>
        <v>0</v>
      </c>
      <c r="AH554" s="40">
        <f t="shared" si="418"/>
        <v>0</v>
      </c>
      <c r="AI554" s="11" t="s">
        <v>1121</v>
      </c>
      <c r="AJ554" s="40">
        <f t="shared" si="419"/>
        <v>0</v>
      </c>
      <c r="AK554" s="40">
        <f t="shared" si="420"/>
        <v>0</v>
      </c>
      <c r="AL554" s="40">
        <f t="shared" si="421"/>
        <v>0</v>
      </c>
      <c r="AN554" s="40">
        <v>21</v>
      </c>
      <c r="AO554" s="40">
        <f>I554*0.712017580681005</f>
        <v>0</v>
      </c>
      <c r="AP554" s="40">
        <f>I554*(1-0.712017580681005)</f>
        <v>0</v>
      </c>
      <c r="AQ554" s="17" t="s">
        <v>1260</v>
      </c>
      <c r="AV554" s="40">
        <f t="shared" si="422"/>
        <v>0</v>
      </c>
      <c r="AW554" s="40">
        <f t="shared" si="423"/>
        <v>0</v>
      </c>
      <c r="AX554" s="40">
        <f t="shared" si="424"/>
        <v>0</v>
      </c>
      <c r="AY554" s="17" t="s">
        <v>1233</v>
      </c>
      <c r="AZ554" s="17" t="s">
        <v>756</v>
      </c>
      <c r="BA554" s="11" t="s">
        <v>475</v>
      </c>
      <c r="BC554" s="40">
        <f t="shared" si="425"/>
        <v>0</v>
      </c>
      <c r="BD554" s="40">
        <f t="shared" si="426"/>
        <v>0</v>
      </c>
      <c r="BE554" s="40">
        <v>0</v>
      </c>
      <c r="BF554" s="40">
        <f>554</f>
        <v>554</v>
      </c>
      <c r="BH554" s="40">
        <f t="shared" si="427"/>
        <v>0</v>
      </c>
      <c r="BI554" s="40">
        <f t="shared" si="428"/>
        <v>0</v>
      </c>
      <c r="BJ554" s="40">
        <f t="shared" si="429"/>
        <v>0</v>
      </c>
      <c r="BK554" s="40"/>
      <c r="BL554" s="40">
        <v>91</v>
      </c>
    </row>
    <row r="555" spans="1:64" ht="15" customHeight="1">
      <c r="A555" s="19" t="s">
        <v>787</v>
      </c>
      <c r="B555" s="59" t="s">
        <v>552</v>
      </c>
      <c r="C555" s="76" t="s">
        <v>113</v>
      </c>
      <c r="D555" s="76"/>
      <c r="E555" s="76"/>
      <c r="F555" s="76"/>
      <c r="G555" s="59" t="s">
        <v>1041</v>
      </c>
      <c r="H555" s="40">
        <v>93</v>
      </c>
      <c r="I555" s="40">
        <v>0</v>
      </c>
      <c r="J555" s="40">
        <f t="shared" si="408"/>
        <v>0</v>
      </c>
      <c r="K555" s="40">
        <f t="shared" si="409"/>
        <v>0</v>
      </c>
      <c r="L555" s="40">
        <f t="shared" si="410"/>
        <v>0</v>
      </c>
      <c r="M555" s="69" t="s">
        <v>868</v>
      </c>
      <c r="Z555" s="40">
        <f t="shared" si="411"/>
        <v>0</v>
      </c>
      <c r="AB555" s="40">
        <f t="shared" si="412"/>
        <v>0</v>
      </c>
      <c r="AC555" s="40">
        <f t="shared" si="413"/>
        <v>0</v>
      </c>
      <c r="AD555" s="40">
        <f t="shared" si="414"/>
        <v>0</v>
      </c>
      <c r="AE555" s="40">
        <f t="shared" si="415"/>
        <v>0</v>
      </c>
      <c r="AF555" s="40">
        <f t="shared" si="416"/>
        <v>0</v>
      </c>
      <c r="AG555" s="40">
        <f t="shared" si="417"/>
        <v>0</v>
      </c>
      <c r="AH555" s="40">
        <f t="shared" si="418"/>
        <v>0</v>
      </c>
      <c r="AI555" s="11" t="s">
        <v>1121</v>
      </c>
      <c r="AJ555" s="40">
        <f t="shared" si="419"/>
        <v>0</v>
      </c>
      <c r="AK555" s="40">
        <f t="shared" si="420"/>
        <v>0</v>
      </c>
      <c r="AL555" s="40">
        <f t="shared" si="421"/>
        <v>0</v>
      </c>
      <c r="AN555" s="40">
        <v>21</v>
      </c>
      <c r="AO555" s="40">
        <f>I555*0.693116178067318</f>
        <v>0</v>
      </c>
      <c r="AP555" s="40">
        <f>I555*(1-0.693116178067318)</f>
        <v>0</v>
      </c>
      <c r="AQ555" s="17" t="s">
        <v>1260</v>
      </c>
      <c r="AV555" s="40">
        <f t="shared" si="422"/>
        <v>0</v>
      </c>
      <c r="AW555" s="40">
        <f t="shared" si="423"/>
        <v>0</v>
      </c>
      <c r="AX555" s="40">
        <f t="shared" si="424"/>
        <v>0</v>
      </c>
      <c r="AY555" s="17" t="s">
        <v>1233</v>
      </c>
      <c r="AZ555" s="17" t="s">
        <v>756</v>
      </c>
      <c r="BA555" s="11" t="s">
        <v>475</v>
      </c>
      <c r="BC555" s="40">
        <f t="shared" si="425"/>
        <v>0</v>
      </c>
      <c r="BD555" s="40">
        <f t="shared" si="426"/>
        <v>0</v>
      </c>
      <c r="BE555" s="40">
        <v>0</v>
      </c>
      <c r="BF555" s="40">
        <f>555</f>
        <v>555</v>
      </c>
      <c r="BH555" s="40">
        <f t="shared" si="427"/>
        <v>0</v>
      </c>
      <c r="BI555" s="40">
        <f t="shared" si="428"/>
        <v>0</v>
      </c>
      <c r="BJ555" s="40">
        <f t="shared" si="429"/>
        <v>0</v>
      </c>
      <c r="BK555" s="40"/>
      <c r="BL555" s="40">
        <v>91</v>
      </c>
    </row>
    <row r="556" spans="1:64" ht="15" customHeight="1">
      <c r="A556" s="19" t="s">
        <v>1227</v>
      </c>
      <c r="B556" s="59" t="s">
        <v>963</v>
      </c>
      <c r="C556" s="76" t="s">
        <v>962</v>
      </c>
      <c r="D556" s="76"/>
      <c r="E556" s="76"/>
      <c r="F556" s="76"/>
      <c r="G556" s="59" t="s">
        <v>1041</v>
      </c>
      <c r="H556" s="40">
        <v>198</v>
      </c>
      <c r="I556" s="40">
        <v>0</v>
      </c>
      <c r="J556" s="40">
        <f t="shared" si="408"/>
        <v>0</v>
      </c>
      <c r="K556" s="40">
        <f t="shared" si="409"/>
        <v>0</v>
      </c>
      <c r="L556" s="40">
        <f t="shared" si="410"/>
        <v>0</v>
      </c>
      <c r="M556" s="69" t="s">
        <v>868</v>
      </c>
      <c r="Z556" s="40">
        <f t="shared" si="411"/>
        <v>0</v>
      </c>
      <c r="AB556" s="40">
        <f t="shared" si="412"/>
        <v>0</v>
      </c>
      <c r="AC556" s="40">
        <f t="shared" si="413"/>
        <v>0</v>
      </c>
      <c r="AD556" s="40">
        <f t="shared" si="414"/>
        <v>0</v>
      </c>
      <c r="AE556" s="40">
        <f t="shared" si="415"/>
        <v>0</v>
      </c>
      <c r="AF556" s="40">
        <f t="shared" si="416"/>
        <v>0</v>
      </c>
      <c r="AG556" s="40">
        <f t="shared" si="417"/>
        <v>0</v>
      </c>
      <c r="AH556" s="40">
        <f t="shared" si="418"/>
        <v>0</v>
      </c>
      <c r="AI556" s="11" t="s">
        <v>1121</v>
      </c>
      <c r="AJ556" s="40">
        <f t="shared" si="419"/>
        <v>0</v>
      </c>
      <c r="AK556" s="40">
        <f t="shared" si="420"/>
        <v>0</v>
      </c>
      <c r="AL556" s="40">
        <f t="shared" si="421"/>
        <v>0</v>
      </c>
      <c r="AN556" s="40">
        <v>21</v>
      </c>
      <c r="AO556" s="40">
        <f>I556*0.911206896551724</f>
        <v>0</v>
      </c>
      <c r="AP556" s="40">
        <f>I556*(1-0.911206896551724)</f>
        <v>0</v>
      </c>
      <c r="AQ556" s="17" t="s">
        <v>1260</v>
      </c>
      <c r="AV556" s="40">
        <f t="shared" si="422"/>
        <v>0</v>
      </c>
      <c r="AW556" s="40">
        <f t="shared" si="423"/>
        <v>0</v>
      </c>
      <c r="AX556" s="40">
        <f t="shared" si="424"/>
        <v>0</v>
      </c>
      <c r="AY556" s="17" t="s">
        <v>1233</v>
      </c>
      <c r="AZ556" s="17" t="s">
        <v>756</v>
      </c>
      <c r="BA556" s="11" t="s">
        <v>475</v>
      </c>
      <c r="BC556" s="40">
        <f t="shared" si="425"/>
        <v>0</v>
      </c>
      <c r="BD556" s="40">
        <f t="shared" si="426"/>
        <v>0</v>
      </c>
      <c r="BE556" s="40">
        <v>0</v>
      </c>
      <c r="BF556" s="40">
        <f>556</f>
        <v>556</v>
      </c>
      <c r="BH556" s="40">
        <f t="shared" si="427"/>
        <v>0</v>
      </c>
      <c r="BI556" s="40">
        <f t="shared" si="428"/>
        <v>0</v>
      </c>
      <c r="BJ556" s="40">
        <f t="shared" si="429"/>
        <v>0</v>
      </c>
      <c r="BK556" s="40"/>
      <c r="BL556" s="40">
        <v>91</v>
      </c>
    </row>
    <row r="557" spans="1:47" ht="15" customHeight="1">
      <c r="A557" s="24" t="s">
        <v>878</v>
      </c>
      <c r="B557" s="66" t="s">
        <v>703</v>
      </c>
      <c r="C557" s="92" t="s">
        <v>949</v>
      </c>
      <c r="D557" s="92"/>
      <c r="E557" s="92"/>
      <c r="F557" s="92"/>
      <c r="G557" s="3" t="s">
        <v>1172</v>
      </c>
      <c r="H557" s="3" t="s">
        <v>1172</v>
      </c>
      <c r="I557" s="3" t="s">
        <v>1172</v>
      </c>
      <c r="J557" s="63">
        <f>SUM(J558:J560)</f>
        <v>0</v>
      </c>
      <c r="K557" s="63">
        <f>SUM(K558:K560)</f>
        <v>0</v>
      </c>
      <c r="L557" s="63">
        <f>SUM(L558:L560)</f>
        <v>0</v>
      </c>
      <c r="M557" s="4" t="s">
        <v>878</v>
      </c>
      <c r="AI557" s="11" t="s">
        <v>1121</v>
      </c>
      <c r="AS557" s="63">
        <f>SUM(AJ558:AJ560)</f>
        <v>0</v>
      </c>
      <c r="AT557" s="63">
        <f>SUM(AK558:AK560)</f>
        <v>0</v>
      </c>
      <c r="AU557" s="63">
        <f>SUM(AL558:AL560)</f>
        <v>0</v>
      </c>
    </row>
    <row r="558" spans="1:64" ht="15" customHeight="1">
      <c r="A558" s="19" t="s">
        <v>17</v>
      </c>
      <c r="B558" s="59" t="s">
        <v>891</v>
      </c>
      <c r="C558" s="76" t="s">
        <v>366</v>
      </c>
      <c r="D558" s="76"/>
      <c r="E558" s="76"/>
      <c r="F558" s="76"/>
      <c r="G558" s="59" t="s">
        <v>312</v>
      </c>
      <c r="H558" s="40">
        <v>10</v>
      </c>
      <c r="I558" s="40">
        <v>0</v>
      </c>
      <c r="J558" s="40">
        <f>H558*AO558</f>
        <v>0</v>
      </c>
      <c r="K558" s="40">
        <f>H558*AP558</f>
        <v>0</v>
      </c>
      <c r="L558" s="40">
        <f>H558*I558</f>
        <v>0</v>
      </c>
      <c r="M558" s="69" t="s">
        <v>868</v>
      </c>
      <c r="Z558" s="40">
        <f>IF(AQ558="5",BJ558,0)</f>
        <v>0</v>
      </c>
      <c r="AB558" s="40">
        <f>IF(AQ558="1",BH558,0)</f>
        <v>0</v>
      </c>
      <c r="AC558" s="40">
        <f>IF(AQ558="1",BI558,0)</f>
        <v>0</v>
      </c>
      <c r="AD558" s="40">
        <f>IF(AQ558="7",BH558,0)</f>
        <v>0</v>
      </c>
      <c r="AE558" s="40">
        <f>IF(AQ558="7",BI558,0)</f>
        <v>0</v>
      </c>
      <c r="AF558" s="40">
        <f>IF(AQ558="2",BH558,0)</f>
        <v>0</v>
      </c>
      <c r="AG558" s="40">
        <f>IF(AQ558="2",BI558,0)</f>
        <v>0</v>
      </c>
      <c r="AH558" s="40">
        <f>IF(AQ558="0",BJ558,0)</f>
        <v>0</v>
      </c>
      <c r="AI558" s="11" t="s">
        <v>1121</v>
      </c>
      <c r="AJ558" s="40">
        <f>IF(AN558=0,L558,0)</f>
        <v>0</v>
      </c>
      <c r="AK558" s="40">
        <f>IF(AN558=15,L558,0)</f>
        <v>0</v>
      </c>
      <c r="AL558" s="40">
        <f>IF(AN558=21,L558,0)</f>
        <v>0</v>
      </c>
      <c r="AN558" s="40">
        <v>21</v>
      </c>
      <c r="AO558" s="40">
        <f>I558*0</f>
        <v>0</v>
      </c>
      <c r="AP558" s="40">
        <f>I558*(1-0)</f>
        <v>0</v>
      </c>
      <c r="AQ558" s="17" t="s">
        <v>1260</v>
      </c>
      <c r="AV558" s="40">
        <f>AW558+AX558</f>
        <v>0</v>
      </c>
      <c r="AW558" s="40">
        <f>H558*AO558</f>
        <v>0</v>
      </c>
      <c r="AX558" s="40">
        <f>H558*AP558</f>
        <v>0</v>
      </c>
      <c r="AY558" s="17" t="s">
        <v>1109</v>
      </c>
      <c r="AZ558" s="17" t="s">
        <v>756</v>
      </c>
      <c r="BA558" s="11" t="s">
        <v>475</v>
      </c>
      <c r="BC558" s="40">
        <f>AW558+AX558</f>
        <v>0</v>
      </c>
      <c r="BD558" s="40">
        <f>I558/(100-BE558)*100</f>
        <v>0</v>
      </c>
      <c r="BE558" s="40">
        <v>0</v>
      </c>
      <c r="BF558" s="40">
        <f>558</f>
        <v>558</v>
      </c>
      <c r="BH558" s="40">
        <f>H558*AO558</f>
        <v>0</v>
      </c>
      <c r="BI558" s="40">
        <f>H558*AP558</f>
        <v>0</v>
      </c>
      <c r="BJ558" s="40">
        <f>H558*I558</f>
        <v>0</v>
      </c>
      <c r="BK558" s="40"/>
      <c r="BL558" s="40">
        <v>96</v>
      </c>
    </row>
    <row r="559" spans="1:64" ht="15" customHeight="1">
      <c r="A559" s="19" t="s">
        <v>150</v>
      </c>
      <c r="B559" s="59" t="s">
        <v>876</v>
      </c>
      <c r="C559" s="76" t="s">
        <v>1034</v>
      </c>
      <c r="D559" s="76"/>
      <c r="E559" s="76"/>
      <c r="F559" s="76"/>
      <c r="G559" s="59" t="s">
        <v>312</v>
      </c>
      <c r="H559" s="40">
        <v>10</v>
      </c>
      <c r="I559" s="40">
        <v>0</v>
      </c>
      <c r="J559" s="40">
        <f>H559*AO559</f>
        <v>0</v>
      </c>
      <c r="K559" s="40">
        <f>H559*AP559</f>
        <v>0</v>
      </c>
      <c r="L559" s="40">
        <f>H559*I559</f>
        <v>0</v>
      </c>
      <c r="M559" s="69" t="s">
        <v>868</v>
      </c>
      <c r="Z559" s="40">
        <f>IF(AQ559="5",BJ559,0)</f>
        <v>0</v>
      </c>
      <c r="AB559" s="40">
        <f>IF(AQ559="1",BH559,0)</f>
        <v>0</v>
      </c>
      <c r="AC559" s="40">
        <f>IF(AQ559="1",BI559,0)</f>
        <v>0</v>
      </c>
      <c r="AD559" s="40">
        <f>IF(AQ559="7",BH559,0)</f>
        <v>0</v>
      </c>
      <c r="AE559" s="40">
        <f>IF(AQ559="7",BI559,0)</f>
        <v>0</v>
      </c>
      <c r="AF559" s="40">
        <f>IF(AQ559="2",BH559,0)</f>
        <v>0</v>
      </c>
      <c r="AG559" s="40">
        <f>IF(AQ559="2",BI559,0)</f>
        <v>0</v>
      </c>
      <c r="AH559" s="40">
        <f>IF(AQ559="0",BJ559,0)</f>
        <v>0</v>
      </c>
      <c r="AI559" s="11" t="s">
        <v>1121</v>
      </c>
      <c r="AJ559" s="40">
        <f>IF(AN559=0,L559,0)</f>
        <v>0</v>
      </c>
      <c r="AK559" s="40">
        <f>IF(AN559=15,L559,0)</f>
        <v>0</v>
      </c>
      <c r="AL559" s="40">
        <f>IF(AN559=21,L559,0)</f>
        <v>0</v>
      </c>
      <c r="AN559" s="40">
        <v>21</v>
      </c>
      <c r="AO559" s="40">
        <f>I559*0</f>
        <v>0</v>
      </c>
      <c r="AP559" s="40">
        <f>I559*(1-0)</f>
        <v>0</v>
      </c>
      <c r="AQ559" s="17" t="s">
        <v>1260</v>
      </c>
      <c r="AV559" s="40">
        <f>AW559+AX559</f>
        <v>0</v>
      </c>
      <c r="AW559" s="40">
        <f>H559*AO559</f>
        <v>0</v>
      </c>
      <c r="AX559" s="40">
        <f>H559*AP559</f>
        <v>0</v>
      </c>
      <c r="AY559" s="17" t="s">
        <v>1109</v>
      </c>
      <c r="AZ559" s="17" t="s">
        <v>756</v>
      </c>
      <c r="BA559" s="11" t="s">
        <v>475</v>
      </c>
      <c r="BC559" s="40">
        <f>AW559+AX559</f>
        <v>0</v>
      </c>
      <c r="BD559" s="40">
        <f>I559/(100-BE559)*100</f>
        <v>0</v>
      </c>
      <c r="BE559" s="40">
        <v>0</v>
      </c>
      <c r="BF559" s="40">
        <f>559</f>
        <v>559</v>
      </c>
      <c r="BH559" s="40">
        <f>H559*AO559</f>
        <v>0</v>
      </c>
      <c r="BI559" s="40">
        <f>H559*AP559</f>
        <v>0</v>
      </c>
      <c r="BJ559" s="40">
        <f>H559*I559</f>
        <v>0</v>
      </c>
      <c r="BK559" s="40"/>
      <c r="BL559" s="40">
        <v>96</v>
      </c>
    </row>
    <row r="560" spans="1:64" ht="15" customHeight="1">
      <c r="A560" s="19" t="s">
        <v>1321</v>
      </c>
      <c r="B560" s="59" t="s">
        <v>459</v>
      </c>
      <c r="C560" s="76" t="s">
        <v>1080</v>
      </c>
      <c r="D560" s="76"/>
      <c r="E560" s="76"/>
      <c r="F560" s="76"/>
      <c r="G560" s="59" t="s">
        <v>312</v>
      </c>
      <c r="H560" s="40">
        <v>10</v>
      </c>
      <c r="I560" s="40">
        <v>0</v>
      </c>
      <c r="J560" s="40">
        <f>H560*AO560</f>
        <v>0</v>
      </c>
      <c r="K560" s="40">
        <f>H560*AP560</f>
        <v>0</v>
      </c>
      <c r="L560" s="40">
        <f>H560*I560</f>
        <v>0</v>
      </c>
      <c r="M560" s="69" t="s">
        <v>868</v>
      </c>
      <c r="Z560" s="40">
        <f>IF(AQ560="5",BJ560,0)</f>
        <v>0</v>
      </c>
      <c r="AB560" s="40">
        <f>IF(AQ560="1",BH560,0)</f>
        <v>0</v>
      </c>
      <c r="AC560" s="40">
        <f>IF(AQ560="1",BI560,0)</f>
        <v>0</v>
      </c>
      <c r="AD560" s="40">
        <f>IF(AQ560="7",BH560,0)</f>
        <v>0</v>
      </c>
      <c r="AE560" s="40">
        <f>IF(AQ560="7",BI560,0)</f>
        <v>0</v>
      </c>
      <c r="AF560" s="40">
        <f>IF(AQ560="2",BH560,0)</f>
        <v>0</v>
      </c>
      <c r="AG560" s="40">
        <f>IF(AQ560="2",BI560,0)</f>
        <v>0</v>
      </c>
      <c r="AH560" s="40">
        <f>IF(AQ560="0",BJ560,0)</f>
        <v>0</v>
      </c>
      <c r="AI560" s="11" t="s">
        <v>1121</v>
      </c>
      <c r="AJ560" s="40">
        <f>IF(AN560=0,L560,0)</f>
        <v>0</v>
      </c>
      <c r="AK560" s="40">
        <f>IF(AN560=15,L560,0)</f>
        <v>0</v>
      </c>
      <c r="AL560" s="40">
        <f>IF(AN560=21,L560,0)</f>
        <v>0</v>
      </c>
      <c r="AN560" s="40">
        <v>21</v>
      </c>
      <c r="AO560" s="40">
        <f>I560*0</f>
        <v>0</v>
      </c>
      <c r="AP560" s="40">
        <f>I560*(1-0)</f>
        <v>0</v>
      </c>
      <c r="AQ560" s="17" t="s">
        <v>1260</v>
      </c>
      <c r="AV560" s="40">
        <f>AW560+AX560</f>
        <v>0</v>
      </c>
      <c r="AW560" s="40">
        <f>H560*AO560</f>
        <v>0</v>
      </c>
      <c r="AX560" s="40">
        <f>H560*AP560</f>
        <v>0</v>
      </c>
      <c r="AY560" s="17" t="s">
        <v>1109</v>
      </c>
      <c r="AZ560" s="17" t="s">
        <v>756</v>
      </c>
      <c r="BA560" s="11" t="s">
        <v>475</v>
      </c>
      <c r="BC560" s="40">
        <f>AW560+AX560</f>
        <v>0</v>
      </c>
      <c r="BD560" s="40">
        <f>I560/(100-BE560)*100</f>
        <v>0</v>
      </c>
      <c r="BE560" s="40">
        <v>0</v>
      </c>
      <c r="BF560" s="40">
        <f>560</f>
        <v>560</v>
      </c>
      <c r="BH560" s="40">
        <f>H560*AO560</f>
        <v>0</v>
      </c>
      <c r="BI560" s="40">
        <f>H560*AP560</f>
        <v>0</v>
      </c>
      <c r="BJ560" s="40">
        <f>H560*I560</f>
        <v>0</v>
      </c>
      <c r="BK560" s="40"/>
      <c r="BL560" s="40">
        <v>96</v>
      </c>
    </row>
    <row r="561" spans="1:47" ht="15" customHeight="1">
      <c r="A561" s="24" t="s">
        <v>878</v>
      </c>
      <c r="B561" s="66" t="s">
        <v>441</v>
      </c>
      <c r="C561" s="92" t="s">
        <v>646</v>
      </c>
      <c r="D561" s="92"/>
      <c r="E561" s="92"/>
      <c r="F561" s="92"/>
      <c r="G561" s="3" t="s">
        <v>1172</v>
      </c>
      <c r="H561" s="3" t="s">
        <v>1172</v>
      </c>
      <c r="I561" s="3" t="s">
        <v>1172</v>
      </c>
      <c r="J561" s="63">
        <f>SUM(J562:J564)</f>
        <v>0</v>
      </c>
      <c r="K561" s="63">
        <f>SUM(K562:K564)</f>
        <v>0</v>
      </c>
      <c r="L561" s="63">
        <f>SUM(L562:L564)</f>
        <v>0</v>
      </c>
      <c r="M561" s="4" t="s">
        <v>878</v>
      </c>
      <c r="AI561" s="11" t="s">
        <v>1121</v>
      </c>
      <c r="AS561" s="63">
        <f>SUM(AJ562:AJ564)</f>
        <v>0</v>
      </c>
      <c r="AT561" s="63">
        <f>SUM(AK562:AK564)</f>
        <v>0</v>
      </c>
      <c r="AU561" s="63">
        <f>SUM(AL562:AL564)</f>
        <v>0</v>
      </c>
    </row>
    <row r="562" spans="1:64" ht="15" customHeight="1">
      <c r="A562" s="19" t="s">
        <v>1413</v>
      </c>
      <c r="B562" s="59" t="s">
        <v>329</v>
      </c>
      <c r="C562" s="76" t="s">
        <v>590</v>
      </c>
      <c r="D562" s="76"/>
      <c r="E562" s="76"/>
      <c r="F562" s="76"/>
      <c r="G562" s="59" t="s">
        <v>312</v>
      </c>
      <c r="H562" s="40">
        <v>3</v>
      </c>
      <c r="I562" s="40">
        <v>0</v>
      </c>
      <c r="J562" s="40">
        <f>H562*AO562</f>
        <v>0</v>
      </c>
      <c r="K562" s="40">
        <f>H562*AP562</f>
        <v>0</v>
      </c>
      <c r="L562" s="40">
        <f>H562*I562</f>
        <v>0</v>
      </c>
      <c r="M562" s="69" t="s">
        <v>868</v>
      </c>
      <c r="Z562" s="40">
        <f>IF(AQ562="5",BJ562,0)</f>
        <v>0</v>
      </c>
      <c r="AB562" s="40">
        <f>IF(AQ562="1",BH562,0)</f>
        <v>0</v>
      </c>
      <c r="AC562" s="40">
        <f>IF(AQ562="1",BI562,0)</f>
        <v>0</v>
      </c>
      <c r="AD562" s="40">
        <f>IF(AQ562="7",BH562,0)</f>
        <v>0</v>
      </c>
      <c r="AE562" s="40">
        <f>IF(AQ562="7",BI562,0)</f>
        <v>0</v>
      </c>
      <c r="AF562" s="40">
        <f>IF(AQ562="2",BH562,0)</f>
        <v>0</v>
      </c>
      <c r="AG562" s="40">
        <f>IF(AQ562="2",BI562,0)</f>
        <v>0</v>
      </c>
      <c r="AH562" s="40">
        <f>IF(AQ562="0",BJ562,0)</f>
        <v>0</v>
      </c>
      <c r="AI562" s="11" t="s">
        <v>1121</v>
      </c>
      <c r="AJ562" s="40">
        <f>IF(AN562=0,L562,0)</f>
        <v>0</v>
      </c>
      <c r="AK562" s="40">
        <f>IF(AN562=15,L562,0)</f>
        <v>0</v>
      </c>
      <c r="AL562" s="40">
        <f>IF(AN562=21,L562,0)</f>
        <v>0</v>
      </c>
      <c r="AN562" s="40">
        <v>21</v>
      </c>
      <c r="AO562" s="40">
        <f>I562*1</f>
        <v>0</v>
      </c>
      <c r="AP562" s="40">
        <f>I562*(1-1)</f>
        <v>0</v>
      </c>
      <c r="AQ562" s="17" t="s">
        <v>1260</v>
      </c>
      <c r="AV562" s="40">
        <f>AW562+AX562</f>
        <v>0</v>
      </c>
      <c r="AW562" s="40">
        <f>H562*AO562</f>
        <v>0</v>
      </c>
      <c r="AX562" s="40">
        <f>H562*AP562</f>
        <v>0</v>
      </c>
      <c r="AY562" s="17" t="s">
        <v>403</v>
      </c>
      <c r="AZ562" s="17" t="s">
        <v>756</v>
      </c>
      <c r="BA562" s="11" t="s">
        <v>475</v>
      </c>
      <c r="BC562" s="40">
        <f>AW562+AX562</f>
        <v>0</v>
      </c>
      <c r="BD562" s="40">
        <f>I562/(100-BE562)*100</f>
        <v>0</v>
      </c>
      <c r="BE562" s="40">
        <v>0</v>
      </c>
      <c r="BF562" s="40">
        <f>562</f>
        <v>562</v>
      </c>
      <c r="BH562" s="40">
        <f>H562*AO562</f>
        <v>0</v>
      </c>
      <c r="BI562" s="40">
        <f>H562*AP562</f>
        <v>0</v>
      </c>
      <c r="BJ562" s="40">
        <f>H562*I562</f>
        <v>0</v>
      </c>
      <c r="BK562" s="40"/>
      <c r="BL562" s="40"/>
    </row>
    <row r="563" spans="1:64" ht="15" customHeight="1">
      <c r="A563" s="19" t="s">
        <v>687</v>
      </c>
      <c r="B563" s="59" t="s">
        <v>363</v>
      </c>
      <c r="C563" s="76" t="s">
        <v>605</v>
      </c>
      <c r="D563" s="76"/>
      <c r="E563" s="76"/>
      <c r="F563" s="76"/>
      <c r="G563" s="59" t="s">
        <v>565</v>
      </c>
      <c r="H563" s="40">
        <v>2115</v>
      </c>
      <c r="I563" s="40">
        <v>0</v>
      </c>
      <c r="J563" s="40">
        <f>H563*AO563</f>
        <v>0</v>
      </c>
      <c r="K563" s="40">
        <f>H563*AP563</f>
        <v>0</v>
      </c>
      <c r="L563" s="40">
        <f>H563*I563</f>
        <v>0</v>
      </c>
      <c r="M563" s="69" t="s">
        <v>868</v>
      </c>
      <c r="Z563" s="40">
        <f>IF(AQ563="5",BJ563,0)</f>
        <v>0</v>
      </c>
      <c r="AB563" s="40">
        <f>IF(AQ563="1",BH563,0)</f>
        <v>0</v>
      </c>
      <c r="AC563" s="40">
        <f>IF(AQ563="1",BI563,0)</f>
        <v>0</v>
      </c>
      <c r="AD563" s="40">
        <f>IF(AQ563="7",BH563,0)</f>
        <v>0</v>
      </c>
      <c r="AE563" s="40">
        <f>IF(AQ563="7",BI563,0)</f>
        <v>0</v>
      </c>
      <c r="AF563" s="40">
        <f>IF(AQ563="2",BH563,0)</f>
        <v>0</v>
      </c>
      <c r="AG563" s="40">
        <f>IF(AQ563="2",BI563,0)</f>
        <v>0</v>
      </c>
      <c r="AH563" s="40">
        <f>IF(AQ563="0",BJ563,0)</f>
        <v>0</v>
      </c>
      <c r="AI563" s="11" t="s">
        <v>1121</v>
      </c>
      <c r="AJ563" s="40">
        <f>IF(AN563=0,L563,0)</f>
        <v>0</v>
      </c>
      <c r="AK563" s="40">
        <f>IF(AN563=15,L563,0)</f>
        <v>0</v>
      </c>
      <c r="AL563" s="40">
        <f>IF(AN563=21,L563,0)</f>
        <v>0</v>
      </c>
      <c r="AN563" s="40">
        <v>21</v>
      </c>
      <c r="AO563" s="40">
        <f>I563*0</f>
        <v>0</v>
      </c>
      <c r="AP563" s="40">
        <f>I563*(1-0)</f>
        <v>0</v>
      </c>
      <c r="AQ563" s="17" t="s">
        <v>668</v>
      </c>
      <c r="AV563" s="40">
        <f>AW563+AX563</f>
        <v>0</v>
      </c>
      <c r="AW563" s="40">
        <f>H563*AO563</f>
        <v>0</v>
      </c>
      <c r="AX563" s="40">
        <f>H563*AP563</f>
        <v>0</v>
      </c>
      <c r="AY563" s="17" t="s">
        <v>403</v>
      </c>
      <c r="AZ563" s="17" t="s">
        <v>756</v>
      </c>
      <c r="BA563" s="11" t="s">
        <v>475</v>
      </c>
      <c r="BC563" s="40">
        <f>AW563+AX563</f>
        <v>0</v>
      </c>
      <c r="BD563" s="40">
        <f>I563/(100-BE563)*100</f>
        <v>0</v>
      </c>
      <c r="BE563" s="40">
        <v>0</v>
      </c>
      <c r="BF563" s="40">
        <f>563</f>
        <v>563</v>
      </c>
      <c r="BH563" s="40">
        <f>H563*AO563</f>
        <v>0</v>
      </c>
      <c r="BI563" s="40">
        <f>H563*AP563</f>
        <v>0</v>
      </c>
      <c r="BJ563" s="40">
        <f>H563*I563</f>
        <v>0</v>
      </c>
      <c r="BK563" s="40"/>
      <c r="BL563" s="40"/>
    </row>
    <row r="564" spans="1:64" ht="15" customHeight="1">
      <c r="A564" s="19" t="s">
        <v>1382</v>
      </c>
      <c r="B564" s="59" t="s">
        <v>1317</v>
      </c>
      <c r="C564" s="76" t="s">
        <v>244</v>
      </c>
      <c r="D564" s="76"/>
      <c r="E564" s="76"/>
      <c r="F564" s="76"/>
      <c r="G564" s="59" t="s">
        <v>312</v>
      </c>
      <c r="H564" s="40">
        <v>2</v>
      </c>
      <c r="I564" s="40">
        <v>0</v>
      </c>
      <c r="J564" s="40">
        <f>H564*AO564</f>
        <v>0</v>
      </c>
      <c r="K564" s="40">
        <f>H564*AP564</f>
        <v>0</v>
      </c>
      <c r="L564" s="40">
        <f>H564*I564</f>
        <v>0</v>
      </c>
      <c r="M564" s="69" t="s">
        <v>868</v>
      </c>
      <c r="Z564" s="40">
        <f>IF(AQ564="5",BJ564,0)</f>
        <v>0</v>
      </c>
      <c r="AB564" s="40">
        <f>IF(AQ564="1",BH564,0)</f>
        <v>0</v>
      </c>
      <c r="AC564" s="40">
        <f>IF(AQ564="1",BI564,0)</f>
        <v>0</v>
      </c>
      <c r="AD564" s="40">
        <f>IF(AQ564="7",BH564,0)</f>
        <v>0</v>
      </c>
      <c r="AE564" s="40">
        <f>IF(AQ564="7",BI564,0)</f>
        <v>0</v>
      </c>
      <c r="AF564" s="40">
        <f>IF(AQ564="2",BH564,0)</f>
        <v>0</v>
      </c>
      <c r="AG564" s="40">
        <f>IF(AQ564="2",BI564,0)</f>
        <v>0</v>
      </c>
      <c r="AH564" s="40">
        <f>IF(AQ564="0",BJ564,0)</f>
        <v>0</v>
      </c>
      <c r="AI564" s="11" t="s">
        <v>1121</v>
      </c>
      <c r="AJ564" s="40">
        <f>IF(AN564=0,L564,0)</f>
        <v>0</v>
      </c>
      <c r="AK564" s="40">
        <f>IF(AN564=15,L564,0)</f>
        <v>0</v>
      </c>
      <c r="AL564" s="40">
        <f>IF(AN564=21,L564,0)</f>
        <v>0</v>
      </c>
      <c r="AN564" s="40">
        <v>21</v>
      </c>
      <c r="AO564" s="40">
        <f>I564*1</f>
        <v>0</v>
      </c>
      <c r="AP564" s="40">
        <f>I564*(1-1)</f>
        <v>0</v>
      </c>
      <c r="AQ564" s="17" t="s">
        <v>1260</v>
      </c>
      <c r="AV564" s="40">
        <f>AW564+AX564</f>
        <v>0</v>
      </c>
      <c r="AW564" s="40">
        <f>H564*AO564</f>
        <v>0</v>
      </c>
      <c r="AX564" s="40">
        <f>H564*AP564</f>
        <v>0</v>
      </c>
      <c r="AY564" s="17" t="s">
        <v>403</v>
      </c>
      <c r="AZ564" s="17" t="s">
        <v>756</v>
      </c>
      <c r="BA564" s="11" t="s">
        <v>475</v>
      </c>
      <c r="BC564" s="40">
        <f>AW564+AX564</f>
        <v>0</v>
      </c>
      <c r="BD564" s="40">
        <f>I564/(100-BE564)*100</f>
        <v>0</v>
      </c>
      <c r="BE564" s="40">
        <v>0</v>
      </c>
      <c r="BF564" s="40">
        <f>564</f>
        <v>564</v>
      </c>
      <c r="BH564" s="40">
        <f>H564*AO564</f>
        <v>0</v>
      </c>
      <c r="BI564" s="40">
        <f>H564*AP564</f>
        <v>0</v>
      </c>
      <c r="BJ564" s="40">
        <f>H564*I564</f>
        <v>0</v>
      </c>
      <c r="BK564" s="40"/>
      <c r="BL564" s="40"/>
    </row>
    <row r="565" spans="1:47" ht="15" customHeight="1">
      <c r="A565" s="24" t="s">
        <v>878</v>
      </c>
      <c r="B565" s="66" t="s">
        <v>407</v>
      </c>
      <c r="C565" s="92" t="s">
        <v>528</v>
      </c>
      <c r="D565" s="92"/>
      <c r="E565" s="92"/>
      <c r="F565" s="92"/>
      <c r="G565" s="3" t="s">
        <v>1172</v>
      </c>
      <c r="H565" s="3" t="s">
        <v>1172</v>
      </c>
      <c r="I565" s="3" t="s">
        <v>1172</v>
      </c>
      <c r="J565" s="63">
        <f>SUM(J566:J569)</f>
        <v>0</v>
      </c>
      <c r="K565" s="63">
        <f>SUM(K566:K569)</f>
        <v>0</v>
      </c>
      <c r="L565" s="63">
        <f>SUM(L566:L569)</f>
        <v>0</v>
      </c>
      <c r="M565" s="4" t="s">
        <v>878</v>
      </c>
      <c r="AI565" s="11" t="s">
        <v>1121</v>
      </c>
      <c r="AS565" s="63">
        <f>SUM(AJ566:AJ569)</f>
        <v>0</v>
      </c>
      <c r="AT565" s="63">
        <f>SUM(AK566:AK569)</f>
        <v>0</v>
      </c>
      <c r="AU565" s="63">
        <f>SUM(AL566:AL569)</f>
        <v>0</v>
      </c>
    </row>
    <row r="566" spans="1:64" ht="15" customHeight="1">
      <c r="A566" s="19" t="s">
        <v>502</v>
      </c>
      <c r="B566" s="59" t="s">
        <v>909</v>
      </c>
      <c r="C566" s="76" t="s">
        <v>945</v>
      </c>
      <c r="D566" s="76"/>
      <c r="E566" s="76"/>
      <c r="F566" s="76"/>
      <c r="G566" s="59" t="s">
        <v>565</v>
      </c>
      <c r="H566" s="40">
        <v>5741.9358</v>
      </c>
      <c r="I566" s="40">
        <v>0</v>
      </c>
      <c r="J566" s="40">
        <f>H566*AO566</f>
        <v>0</v>
      </c>
      <c r="K566" s="40">
        <f>H566*AP566</f>
        <v>0</v>
      </c>
      <c r="L566" s="40">
        <f>H566*I566</f>
        <v>0</v>
      </c>
      <c r="M566" s="69" t="s">
        <v>868</v>
      </c>
      <c r="Z566" s="40">
        <f>IF(AQ566="5",BJ566,0)</f>
        <v>0</v>
      </c>
      <c r="AB566" s="40">
        <f>IF(AQ566="1",BH566,0)</f>
        <v>0</v>
      </c>
      <c r="AC566" s="40">
        <f>IF(AQ566="1",BI566,0)</f>
        <v>0</v>
      </c>
      <c r="AD566" s="40">
        <f>IF(AQ566="7",BH566,0)</f>
        <v>0</v>
      </c>
      <c r="AE566" s="40">
        <f>IF(AQ566="7",BI566,0)</f>
        <v>0</v>
      </c>
      <c r="AF566" s="40">
        <f>IF(AQ566="2",BH566,0)</f>
        <v>0</v>
      </c>
      <c r="AG566" s="40">
        <f>IF(AQ566="2",BI566,0)</f>
        <v>0</v>
      </c>
      <c r="AH566" s="40">
        <f>IF(AQ566="0",BJ566,0)</f>
        <v>0</v>
      </c>
      <c r="AI566" s="11" t="s">
        <v>1121</v>
      </c>
      <c r="AJ566" s="40">
        <f>IF(AN566=0,L566,0)</f>
        <v>0</v>
      </c>
      <c r="AK566" s="40">
        <f>IF(AN566=15,L566,0)</f>
        <v>0</v>
      </c>
      <c r="AL566" s="40">
        <f>IF(AN566=21,L566,0)</f>
        <v>0</v>
      </c>
      <c r="AN566" s="40">
        <v>21</v>
      </c>
      <c r="AO566" s="40">
        <f>I566*0</f>
        <v>0</v>
      </c>
      <c r="AP566" s="40">
        <f>I566*(1-0)</f>
        <v>0</v>
      </c>
      <c r="AQ566" s="17" t="s">
        <v>668</v>
      </c>
      <c r="AV566" s="40">
        <f>AW566+AX566</f>
        <v>0</v>
      </c>
      <c r="AW566" s="40">
        <f>H566*AO566</f>
        <v>0</v>
      </c>
      <c r="AX566" s="40">
        <f>H566*AP566</f>
        <v>0</v>
      </c>
      <c r="AY566" s="17" t="s">
        <v>506</v>
      </c>
      <c r="AZ566" s="17" t="s">
        <v>756</v>
      </c>
      <c r="BA566" s="11" t="s">
        <v>475</v>
      </c>
      <c r="BC566" s="40">
        <f>AW566+AX566</f>
        <v>0</v>
      </c>
      <c r="BD566" s="40">
        <f>I566/(100-BE566)*100</f>
        <v>0</v>
      </c>
      <c r="BE566" s="40">
        <v>0</v>
      </c>
      <c r="BF566" s="40">
        <f>566</f>
        <v>566</v>
      </c>
      <c r="BH566" s="40">
        <f>H566*AO566</f>
        <v>0</v>
      </c>
      <c r="BI566" s="40">
        <f>H566*AP566</f>
        <v>0</v>
      </c>
      <c r="BJ566" s="40">
        <f>H566*I566</f>
        <v>0</v>
      </c>
      <c r="BK566" s="40"/>
      <c r="BL566" s="40"/>
    </row>
    <row r="567" spans="1:64" ht="15" customHeight="1">
      <c r="A567" s="19" t="s">
        <v>74</v>
      </c>
      <c r="B567" s="59" t="s">
        <v>1385</v>
      </c>
      <c r="C567" s="76" t="s">
        <v>1101</v>
      </c>
      <c r="D567" s="76"/>
      <c r="E567" s="76"/>
      <c r="F567" s="76"/>
      <c r="G567" s="59" t="s">
        <v>565</v>
      </c>
      <c r="H567" s="40">
        <v>4877.4358</v>
      </c>
      <c r="I567" s="40">
        <v>0</v>
      </c>
      <c r="J567" s="40">
        <f>H567*AO567</f>
        <v>0</v>
      </c>
      <c r="K567" s="40">
        <f>H567*AP567</f>
        <v>0</v>
      </c>
      <c r="L567" s="40">
        <f>H567*I567</f>
        <v>0</v>
      </c>
      <c r="M567" s="69" t="s">
        <v>868</v>
      </c>
      <c r="Z567" s="40">
        <f>IF(AQ567="5",BJ567,0)</f>
        <v>0</v>
      </c>
      <c r="AB567" s="40">
        <f>IF(AQ567="1",BH567,0)</f>
        <v>0</v>
      </c>
      <c r="AC567" s="40">
        <f>IF(AQ567="1",BI567,0)</f>
        <v>0</v>
      </c>
      <c r="AD567" s="40">
        <f>IF(AQ567="7",BH567,0)</f>
        <v>0</v>
      </c>
      <c r="AE567" s="40">
        <f>IF(AQ567="7",BI567,0)</f>
        <v>0</v>
      </c>
      <c r="AF567" s="40">
        <f>IF(AQ567="2",BH567,0)</f>
        <v>0</v>
      </c>
      <c r="AG567" s="40">
        <f>IF(AQ567="2",BI567,0)</f>
        <v>0</v>
      </c>
      <c r="AH567" s="40">
        <f>IF(AQ567="0",BJ567,0)</f>
        <v>0</v>
      </c>
      <c r="AI567" s="11" t="s">
        <v>1121</v>
      </c>
      <c r="AJ567" s="40">
        <f>IF(AN567=0,L567,0)</f>
        <v>0</v>
      </c>
      <c r="AK567" s="40">
        <f>IF(AN567=15,L567,0)</f>
        <v>0</v>
      </c>
      <c r="AL567" s="40">
        <f>IF(AN567=21,L567,0)</f>
        <v>0</v>
      </c>
      <c r="AN567" s="40">
        <v>21</v>
      </c>
      <c r="AO567" s="40">
        <f>I567*0</f>
        <v>0</v>
      </c>
      <c r="AP567" s="40">
        <f>I567*(1-0)</f>
        <v>0</v>
      </c>
      <c r="AQ567" s="17" t="s">
        <v>668</v>
      </c>
      <c r="AV567" s="40">
        <f>AW567+AX567</f>
        <v>0</v>
      </c>
      <c r="AW567" s="40">
        <f>H567*AO567</f>
        <v>0</v>
      </c>
      <c r="AX567" s="40">
        <f>H567*AP567</f>
        <v>0</v>
      </c>
      <c r="AY567" s="17" t="s">
        <v>506</v>
      </c>
      <c r="AZ567" s="17" t="s">
        <v>756</v>
      </c>
      <c r="BA567" s="11" t="s">
        <v>475</v>
      </c>
      <c r="BC567" s="40">
        <f>AW567+AX567</f>
        <v>0</v>
      </c>
      <c r="BD567" s="40">
        <f>I567/(100-BE567)*100</f>
        <v>0</v>
      </c>
      <c r="BE567" s="40">
        <v>0</v>
      </c>
      <c r="BF567" s="40">
        <f>567</f>
        <v>567</v>
      </c>
      <c r="BH567" s="40">
        <f>H567*AO567</f>
        <v>0</v>
      </c>
      <c r="BI567" s="40">
        <f>H567*AP567</f>
        <v>0</v>
      </c>
      <c r="BJ567" s="40">
        <f>H567*I567</f>
        <v>0</v>
      </c>
      <c r="BK567" s="40"/>
      <c r="BL567" s="40"/>
    </row>
    <row r="568" spans="1:64" ht="15" customHeight="1">
      <c r="A568" s="19" t="s">
        <v>719</v>
      </c>
      <c r="B568" s="59" t="s">
        <v>834</v>
      </c>
      <c r="C568" s="76" t="s">
        <v>538</v>
      </c>
      <c r="D568" s="76"/>
      <c r="E568" s="76"/>
      <c r="F568" s="76"/>
      <c r="G568" s="59" t="s">
        <v>565</v>
      </c>
      <c r="H568" s="40">
        <v>5741.9358</v>
      </c>
      <c r="I568" s="40">
        <v>0</v>
      </c>
      <c r="J568" s="40">
        <f>H568*AO568</f>
        <v>0</v>
      </c>
      <c r="K568" s="40">
        <f>H568*AP568</f>
        <v>0</v>
      </c>
      <c r="L568" s="40">
        <f>H568*I568</f>
        <v>0</v>
      </c>
      <c r="M568" s="69" t="s">
        <v>868</v>
      </c>
      <c r="Z568" s="40">
        <f>IF(AQ568="5",BJ568,0)</f>
        <v>0</v>
      </c>
      <c r="AB568" s="40">
        <f>IF(AQ568="1",BH568,0)</f>
        <v>0</v>
      </c>
      <c r="AC568" s="40">
        <f>IF(AQ568="1",BI568,0)</f>
        <v>0</v>
      </c>
      <c r="AD568" s="40">
        <f>IF(AQ568="7",BH568,0)</f>
        <v>0</v>
      </c>
      <c r="AE568" s="40">
        <f>IF(AQ568="7",BI568,0)</f>
        <v>0</v>
      </c>
      <c r="AF568" s="40">
        <f>IF(AQ568="2",BH568,0)</f>
        <v>0</v>
      </c>
      <c r="AG568" s="40">
        <f>IF(AQ568="2",BI568,0)</f>
        <v>0</v>
      </c>
      <c r="AH568" s="40">
        <f>IF(AQ568="0",BJ568,0)</f>
        <v>0</v>
      </c>
      <c r="AI568" s="11" t="s">
        <v>1121</v>
      </c>
      <c r="AJ568" s="40">
        <f>IF(AN568=0,L568,0)</f>
        <v>0</v>
      </c>
      <c r="AK568" s="40">
        <f>IF(AN568=15,L568,0)</f>
        <v>0</v>
      </c>
      <c r="AL568" s="40">
        <f>IF(AN568=21,L568,0)</f>
        <v>0</v>
      </c>
      <c r="AN568" s="40">
        <v>21</v>
      </c>
      <c r="AO568" s="40">
        <f>I568*0</f>
        <v>0</v>
      </c>
      <c r="AP568" s="40">
        <f>I568*(1-0)</f>
        <v>0</v>
      </c>
      <c r="AQ568" s="17" t="s">
        <v>668</v>
      </c>
      <c r="AV568" s="40">
        <f>AW568+AX568</f>
        <v>0</v>
      </c>
      <c r="AW568" s="40">
        <f>H568*AO568</f>
        <v>0</v>
      </c>
      <c r="AX568" s="40">
        <f>H568*AP568</f>
        <v>0</v>
      </c>
      <c r="AY568" s="17" t="s">
        <v>506</v>
      </c>
      <c r="AZ568" s="17" t="s">
        <v>756</v>
      </c>
      <c r="BA568" s="11" t="s">
        <v>475</v>
      </c>
      <c r="BC568" s="40">
        <f>AW568+AX568</f>
        <v>0</v>
      </c>
      <c r="BD568" s="40">
        <f>I568/(100-BE568)*100</f>
        <v>0</v>
      </c>
      <c r="BE568" s="40">
        <v>0</v>
      </c>
      <c r="BF568" s="40">
        <f>568</f>
        <v>568</v>
      </c>
      <c r="BH568" s="40">
        <f>H568*AO568</f>
        <v>0</v>
      </c>
      <c r="BI568" s="40">
        <f>H568*AP568</f>
        <v>0</v>
      </c>
      <c r="BJ568" s="40">
        <f>H568*I568</f>
        <v>0</v>
      </c>
      <c r="BK568" s="40"/>
      <c r="BL568" s="40"/>
    </row>
    <row r="569" spans="1:64" ht="15" customHeight="1">
      <c r="A569" s="19" t="s">
        <v>645</v>
      </c>
      <c r="B569" s="59" t="s">
        <v>666</v>
      </c>
      <c r="C569" s="76" t="s">
        <v>165</v>
      </c>
      <c r="D569" s="76"/>
      <c r="E569" s="76"/>
      <c r="F569" s="76"/>
      <c r="G569" s="59" t="s">
        <v>565</v>
      </c>
      <c r="H569" s="40">
        <v>118.8</v>
      </c>
      <c r="I569" s="40">
        <v>0</v>
      </c>
      <c r="J569" s="40">
        <f>H569*AO569</f>
        <v>0</v>
      </c>
      <c r="K569" s="40">
        <f>H569*AP569</f>
        <v>0</v>
      </c>
      <c r="L569" s="40">
        <f>H569*I569</f>
        <v>0</v>
      </c>
      <c r="M569" s="69" t="s">
        <v>868</v>
      </c>
      <c r="Z569" s="40">
        <f>IF(AQ569="5",BJ569,0)</f>
        <v>0</v>
      </c>
      <c r="AB569" s="40">
        <f>IF(AQ569="1",BH569,0)</f>
        <v>0</v>
      </c>
      <c r="AC569" s="40">
        <f>IF(AQ569="1",BI569,0)</f>
        <v>0</v>
      </c>
      <c r="AD569" s="40">
        <f>IF(AQ569="7",BH569,0)</f>
        <v>0</v>
      </c>
      <c r="AE569" s="40">
        <f>IF(AQ569="7",BI569,0)</f>
        <v>0</v>
      </c>
      <c r="AF569" s="40">
        <f>IF(AQ569="2",BH569,0)</f>
        <v>0</v>
      </c>
      <c r="AG569" s="40">
        <f>IF(AQ569="2",BI569,0)</f>
        <v>0</v>
      </c>
      <c r="AH569" s="40">
        <f>IF(AQ569="0",BJ569,0)</f>
        <v>0</v>
      </c>
      <c r="AI569" s="11" t="s">
        <v>1121</v>
      </c>
      <c r="AJ569" s="40">
        <f>IF(AN569=0,L569,0)</f>
        <v>0</v>
      </c>
      <c r="AK569" s="40">
        <f>IF(AN569=15,L569,0)</f>
        <v>0</v>
      </c>
      <c r="AL569" s="40">
        <f>IF(AN569=21,L569,0)</f>
        <v>0</v>
      </c>
      <c r="AN569" s="40">
        <v>21</v>
      </c>
      <c r="AO569" s="40">
        <f>I569*0</f>
        <v>0</v>
      </c>
      <c r="AP569" s="40">
        <f>I569*(1-0)</f>
        <v>0</v>
      </c>
      <c r="AQ569" s="17" t="s">
        <v>668</v>
      </c>
      <c r="AV569" s="40">
        <f>AW569+AX569</f>
        <v>0</v>
      </c>
      <c r="AW569" s="40">
        <f>H569*AO569</f>
        <v>0</v>
      </c>
      <c r="AX569" s="40">
        <f>H569*AP569</f>
        <v>0</v>
      </c>
      <c r="AY569" s="17" t="s">
        <v>506</v>
      </c>
      <c r="AZ569" s="17" t="s">
        <v>756</v>
      </c>
      <c r="BA569" s="11" t="s">
        <v>475</v>
      </c>
      <c r="BC569" s="40">
        <f>AW569+AX569</f>
        <v>0</v>
      </c>
      <c r="BD569" s="40">
        <f>I569/(100-BE569)*100</f>
        <v>0</v>
      </c>
      <c r="BE569" s="40">
        <v>0</v>
      </c>
      <c r="BF569" s="40">
        <f>569</f>
        <v>569</v>
      </c>
      <c r="BH569" s="40">
        <f>H569*AO569</f>
        <v>0</v>
      </c>
      <c r="BI569" s="40">
        <f>H569*AP569</f>
        <v>0</v>
      </c>
      <c r="BJ569" s="40">
        <f>H569*I569</f>
        <v>0</v>
      </c>
      <c r="BK569" s="40"/>
      <c r="BL569" s="40"/>
    </row>
    <row r="570" spans="1:35" ht="15" customHeight="1">
      <c r="A570" s="24" t="s">
        <v>878</v>
      </c>
      <c r="B570" s="66" t="s">
        <v>878</v>
      </c>
      <c r="C570" s="92" t="s">
        <v>752</v>
      </c>
      <c r="D570" s="92"/>
      <c r="E570" s="92"/>
      <c r="F570" s="92"/>
      <c r="G570" s="3" t="s">
        <v>1172</v>
      </c>
      <c r="H570" s="3" t="s">
        <v>1172</v>
      </c>
      <c r="I570" s="3" t="s">
        <v>1172</v>
      </c>
      <c r="J570" s="63">
        <f>J571+J575+J577+J580+J582</f>
        <v>0</v>
      </c>
      <c r="K570" s="63">
        <f>K571+K575+K577+K580+K582</f>
        <v>0</v>
      </c>
      <c r="L570" s="63">
        <f>L571+L575+L577+L580+L582</f>
        <v>0</v>
      </c>
      <c r="M570" s="4" t="s">
        <v>878</v>
      </c>
      <c r="AI570" s="11" t="s">
        <v>1121</v>
      </c>
    </row>
    <row r="571" spans="1:47" ht="15" customHeight="1">
      <c r="A571" s="24" t="s">
        <v>878</v>
      </c>
      <c r="B571" s="66" t="s">
        <v>940</v>
      </c>
      <c r="C571" s="92" t="s">
        <v>581</v>
      </c>
      <c r="D571" s="92"/>
      <c r="E571" s="92"/>
      <c r="F571" s="92"/>
      <c r="G571" s="3" t="s">
        <v>1172</v>
      </c>
      <c r="H571" s="3" t="s">
        <v>1172</v>
      </c>
      <c r="I571" s="3" t="s">
        <v>1172</v>
      </c>
      <c r="J571" s="63">
        <f>SUM(J572:J574)</f>
        <v>0</v>
      </c>
      <c r="K571" s="63">
        <f>SUM(K572:K574)</f>
        <v>0</v>
      </c>
      <c r="L571" s="63">
        <f>SUM(L572:L574)</f>
        <v>0</v>
      </c>
      <c r="M571" s="4" t="s">
        <v>878</v>
      </c>
      <c r="AI571" s="11" t="s">
        <v>1121</v>
      </c>
      <c r="AS571" s="63">
        <f>SUM(AJ572:AJ574)</f>
        <v>0</v>
      </c>
      <c r="AT571" s="63">
        <f>SUM(AK572:AK574)</f>
        <v>0</v>
      </c>
      <c r="AU571" s="63">
        <f>SUM(AL572:AL574)</f>
        <v>0</v>
      </c>
    </row>
    <row r="572" spans="1:65" ht="15" customHeight="1">
      <c r="A572" s="19" t="s">
        <v>298</v>
      </c>
      <c r="B572" s="59" t="s">
        <v>584</v>
      </c>
      <c r="C572" s="76" t="s">
        <v>974</v>
      </c>
      <c r="D572" s="76"/>
      <c r="E572" s="76"/>
      <c r="F572" s="76"/>
      <c r="G572" s="59" t="s">
        <v>852</v>
      </c>
      <c r="H572" s="40">
        <v>1</v>
      </c>
      <c r="I572" s="40">
        <v>0</v>
      </c>
      <c r="J572" s="40">
        <f>H572*AO572</f>
        <v>0</v>
      </c>
      <c r="K572" s="40">
        <f>H572*AP572</f>
        <v>0</v>
      </c>
      <c r="L572" s="40">
        <f>H572*I572</f>
        <v>0</v>
      </c>
      <c r="M572" s="69" t="s">
        <v>868</v>
      </c>
      <c r="Z572" s="40">
        <f>IF(AQ572="5",BJ572,0)</f>
        <v>0</v>
      </c>
      <c r="AB572" s="40">
        <f>IF(AQ572="1",BH572,0)</f>
        <v>0</v>
      </c>
      <c r="AC572" s="40">
        <f>IF(AQ572="1",BI572,0)</f>
        <v>0</v>
      </c>
      <c r="AD572" s="40">
        <f>IF(AQ572="7",BH572,0)</f>
        <v>0</v>
      </c>
      <c r="AE572" s="40">
        <f>IF(AQ572="7",BI572,0)</f>
        <v>0</v>
      </c>
      <c r="AF572" s="40">
        <f>IF(AQ572="2",BH572,0)</f>
        <v>0</v>
      </c>
      <c r="AG572" s="40">
        <f>IF(AQ572="2",BI572,0)</f>
        <v>0</v>
      </c>
      <c r="AH572" s="40">
        <f>IF(AQ572="0",BJ572,0)</f>
        <v>0</v>
      </c>
      <c r="AI572" s="11" t="s">
        <v>1121</v>
      </c>
      <c r="AJ572" s="40">
        <f>IF(AN572=0,L572,0)</f>
        <v>0</v>
      </c>
      <c r="AK572" s="40">
        <f>IF(AN572=15,L572,0)</f>
        <v>0</v>
      </c>
      <c r="AL572" s="40">
        <f>IF(AN572=21,L572,0)</f>
        <v>0</v>
      </c>
      <c r="AN572" s="40">
        <v>21</v>
      </c>
      <c r="AO572" s="40">
        <f>I572*0</f>
        <v>0</v>
      </c>
      <c r="AP572" s="40">
        <f>I572*(1-0)</f>
        <v>0</v>
      </c>
      <c r="AQ572" s="17" t="s">
        <v>578</v>
      </c>
      <c r="AV572" s="40">
        <f>AW572+AX572</f>
        <v>0</v>
      </c>
      <c r="AW572" s="40">
        <f>H572*AO572</f>
        <v>0</v>
      </c>
      <c r="AX572" s="40">
        <f>H572*AP572</f>
        <v>0</v>
      </c>
      <c r="AY572" s="17" t="s">
        <v>593</v>
      </c>
      <c r="AZ572" s="17" t="s">
        <v>1219</v>
      </c>
      <c r="BA572" s="11" t="s">
        <v>475</v>
      </c>
      <c r="BC572" s="40">
        <f>AW572+AX572</f>
        <v>0</v>
      </c>
      <c r="BD572" s="40">
        <f>I572/(100-BE572)*100</f>
        <v>0</v>
      </c>
      <c r="BE572" s="40">
        <v>0</v>
      </c>
      <c r="BF572" s="40">
        <f>572</f>
        <v>572</v>
      </c>
      <c r="BH572" s="40">
        <f>H572*AO572</f>
        <v>0</v>
      </c>
      <c r="BI572" s="40">
        <f>H572*AP572</f>
        <v>0</v>
      </c>
      <c r="BJ572" s="40">
        <f>H572*I572</f>
        <v>0</v>
      </c>
      <c r="BK572" s="40"/>
      <c r="BL572" s="40"/>
      <c r="BM572" s="40">
        <f>H572*I572</f>
        <v>0</v>
      </c>
    </row>
    <row r="573" spans="1:65" ht="15" customHeight="1">
      <c r="A573" s="19" t="s">
        <v>754</v>
      </c>
      <c r="B573" s="59" t="s">
        <v>886</v>
      </c>
      <c r="C573" s="76" t="s">
        <v>856</v>
      </c>
      <c r="D573" s="76"/>
      <c r="E573" s="76"/>
      <c r="F573" s="76"/>
      <c r="G573" s="59" t="s">
        <v>852</v>
      </c>
      <c r="H573" s="40">
        <v>1</v>
      </c>
      <c r="I573" s="40">
        <v>0</v>
      </c>
      <c r="J573" s="40">
        <f>H573*AO573</f>
        <v>0</v>
      </c>
      <c r="K573" s="40">
        <f>H573*AP573</f>
        <v>0</v>
      </c>
      <c r="L573" s="40">
        <f>H573*I573</f>
        <v>0</v>
      </c>
      <c r="M573" s="69" t="s">
        <v>868</v>
      </c>
      <c r="Z573" s="40">
        <f>IF(AQ573="5",BJ573,0)</f>
        <v>0</v>
      </c>
      <c r="AB573" s="40">
        <f>IF(AQ573="1",BH573,0)</f>
        <v>0</v>
      </c>
      <c r="AC573" s="40">
        <f>IF(AQ573="1",BI573,0)</f>
        <v>0</v>
      </c>
      <c r="AD573" s="40">
        <f>IF(AQ573="7",BH573,0)</f>
        <v>0</v>
      </c>
      <c r="AE573" s="40">
        <f>IF(AQ573="7",BI573,0)</f>
        <v>0</v>
      </c>
      <c r="AF573" s="40">
        <f>IF(AQ573="2",BH573,0)</f>
        <v>0</v>
      </c>
      <c r="AG573" s="40">
        <f>IF(AQ573="2",BI573,0)</f>
        <v>0</v>
      </c>
      <c r="AH573" s="40">
        <f>IF(AQ573="0",BJ573,0)</f>
        <v>0</v>
      </c>
      <c r="AI573" s="11" t="s">
        <v>1121</v>
      </c>
      <c r="AJ573" s="40">
        <f>IF(AN573=0,L573,0)</f>
        <v>0</v>
      </c>
      <c r="AK573" s="40">
        <f>IF(AN573=15,L573,0)</f>
        <v>0</v>
      </c>
      <c r="AL573" s="40">
        <f>IF(AN573=21,L573,0)</f>
        <v>0</v>
      </c>
      <c r="AN573" s="40">
        <v>21</v>
      </c>
      <c r="AO573" s="40">
        <f>I573*0</f>
        <v>0</v>
      </c>
      <c r="AP573" s="40">
        <f>I573*(1-0)</f>
        <v>0</v>
      </c>
      <c r="AQ573" s="17" t="s">
        <v>578</v>
      </c>
      <c r="AV573" s="40">
        <f>AW573+AX573</f>
        <v>0</v>
      </c>
      <c r="AW573" s="40">
        <f>H573*AO573</f>
        <v>0</v>
      </c>
      <c r="AX573" s="40">
        <f>H573*AP573</f>
        <v>0</v>
      </c>
      <c r="AY573" s="17" t="s">
        <v>593</v>
      </c>
      <c r="AZ573" s="17" t="s">
        <v>1219</v>
      </c>
      <c r="BA573" s="11" t="s">
        <v>475</v>
      </c>
      <c r="BC573" s="40">
        <f>AW573+AX573</f>
        <v>0</v>
      </c>
      <c r="BD573" s="40">
        <f>I573/(100-BE573)*100</f>
        <v>0</v>
      </c>
      <c r="BE573" s="40">
        <v>0</v>
      </c>
      <c r="BF573" s="40">
        <f>573</f>
        <v>573</v>
      </c>
      <c r="BH573" s="40">
        <f>H573*AO573</f>
        <v>0</v>
      </c>
      <c r="BI573" s="40">
        <f>H573*AP573</f>
        <v>0</v>
      </c>
      <c r="BJ573" s="40">
        <f>H573*I573</f>
        <v>0</v>
      </c>
      <c r="BK573" s="40"/>
      <c r="BL573" s="40"/>
      <c r="BM573" s="40">
        <f>H573*I573</f>
        <v>0</v>
      </c>
    </row>
    <row r="574" spans="1:65" ht="15" customHeight="1">
      <c r="A574" s="19" t="s">
        <v>45</v>
      </c>
      <c r="B574" s="59" t="s">
        <v>886</v>
      </c>
      <c r="C574" s="76" t="s">
        <v>111</v>
      </c>
      <c r="D574" s="76"/>
      <c r="E574" s="76"/>
      <c r="F574" s="76"/>
      <c r="G574" s="59" t="s">
        <v>852</v>
      </c>
      <c r="H574" s="40">
        <v>0</v>
      </c>
      <c r="I574" s="40">
        <v>0</v>
      </c>
      <c r="J574" s="40">
        <f>H574*AO574</f>
        <v>0</v>
      </c>
      <c r="K574" s="40">
        <f>H574*AP574</f>
        <v>0</v>
      </c>
      <c r="L574" s="40">
        <f>H574*I574</f>
        <v>0</v>
      </c>
      <c r="M574" s="69" t="s">
        <v>868</v>
      </c>
      <c r="Z574" s="40">
        <f>IF(AQ574="5",BJ574,0)</f>
        <v>0</v>
      </c>
      <c r="AB574" s="40">
        <f>IF(AQ574="1",BH574,0)</f>
        <v>0</v>
      </c>
      <c r="AC574" s="40">
        <f>IF(AQ574="1",BI574,0)</f>
        <v>0</v>
      </c>
      <c r="AD574" s="40">
        <f>IF(AQ574="7",BH574,0)</f>
        <v>0</v>
      </c>
      <c r="AE574" s="40">
        <f>IF(AQ574="7",BI574,0)</f>
        <v>0</v>
      </c>
      <c r="AF574" s="40">
        <f>IF(AQ574="2",BH574,0)</f>
        <v>0</v>
      </c>
      <c r="AG574" s="40">
        <f>IF(AQ574="2",BI574,0)</f>
        <v>0</v>
      </c>
      <c r="AH574" s="40">
        <f>IF(AQ574="0",BJ574,0)</f>
        <v>0</v>
      </c>
      <c r="AI574" s="11" t="s">
        <v>1121</v>
      </c>
      <c r="AJ574" s="40">
        <f>IF(AN574=0,L574,0)</f>
        <v>0</v>
      </c>
      <c r="AK574" s="40">
        <f>IF(AN574=15,L574,0)</f>
        <v>0</v>
      </c>
      <c r="AL574" s="40">
        <f>IF(AN574=21,L574,0)</f>
        <v>0</v>
      </c>
      <c r="AN574" s="40">
        <v>21</v>
      </c>
      <c r="AO574" s="40">
        <f>I574*0</f>
        <v>0</v>
      </c>
      <c r="AP574" s="40">
        <f>I574*(1-0)</f>
        <v>0</v>
      </c>
      <c r="AQ574" s="17" t="s">
        <v>578</v>
      </c>
      <c r="AV574" s="40">
        <f>AW574+AX574</f>
        <v>0</v>
      </c>
      <c r="AW574" s="40">
        <f>H574*AO574</f>
        <v>0</v>
      </c>
      <c r="AX574" s="40">
        <f>H574*AP574</f>
        <v>0</v>
      </c>
      <c r="AY574" s="17" t="s">
        <v>593</v>
      </c>
      <c r="AZ574" s="17" t="s">
        <v>1219</v>
      </c>
      <c r="BA574" s="11" t="s">
        <v>475</v>
      </c>
      <c r="BC574" s="40">
        <f>AW574+AX574</f>
        <v>0</v>
      </c>
      <c r="BD574" s="40">
        <f>I574/(100-BE574)*100</f>
        <v>0</v>
      </c>
      <c r="BE574" s="40">
        <v>0</v>
      </c>
      <c r="BF574" s="40">
        <f>574</f>
        <v>574</v>
      </c>
      <c r="BH574" s="40">
        <f>H574*AO574</f>
        <v>0</v>
      </c>
      <c r="BI574" s="40">
        <f>H574*AP574</f>
        <v>0</v>
      </c>
      <c r="BJ574" s="40">
        <f>H574*I574</f>
        <v>0</v>
      </c>
      <c r="BK574" s="40"/>
      <c r="BL574" s="40"/>
      <c r="BM574" s="40">
        <f>H574*I574</f>
        <v>0</v>
      </c>
    </row>
    <row r="575" spans="1:47" ht="15" customHeight="1">
      <c r="A575" s="24" t="s">
        <v>878</v>
      </c>
      <c r="B575" s="66" t="s">
        <v>418</v>
      </c>
      <c r="C575" s="92" t="s">
        <v>1086</v>
      </c>
      <c r="D575" s="92"/>
      <c r="E575" s="92"/>
      <c r="F575" s="92"/>
      <c r="G575" s="3" t="s">
        <v>1172</v>
      </c>
      <c r="H575" s="3" t="s">
        <v>1172</v>
      </c>
      <c r="I575" s="3" t="s">
        <v>1172</v>
      </c>
      <c r="J575" s="63">
        <f>SUM(J576:J576)</f>
        <v>0</v>
      </c>
      <c r="K575" s="63">
        <f>SUM(K576:K576)</f>
        <v>0</v>
      </c>
      <c r="L575" s="63">
        <f>SUM(L576:L576)</f>
        <v>0</v>
      </c>
      <c r="M575" s="4" t="s">
        <v>878</v>
      </c>
      <c r="AI575" s="11" t="s">
        <v>1121</v>
      </c>
      <c r="AS575" s="63">
        <f>SUM(AJ576:AJ576)</f>
        <v>0</v>
      </c>
      <c r="AT575" s="63">
        <f>SUM(AK576:AK576)</f>
        <v>0</v>
      </c>
      <c r="AU575" s="63">
        <f>SUM(AL576:AL576)</f>
        <v>0</v>
      </c>
    </row>
    <row r="576" spans="1:66" ht="15" customHeight="1">
      <c r="A576" s="19" t="s">
        <v>1391</v>
      </c>
      <c r="B576" s="59" t="s">
        <v>896</v>
      </c>
      <c r="C576" s="76" t="s">
        <v>692</v>
      </c>
      <c r="D576" s="76"/>
      <c r="E576" s="76"/>
      <c r="F576" s="76"/>
      <c r="G576" s="59" t="s">
        <v>852</v>
      </c>
      <c r="H576" s="40">
        <v>1</v>
      </c>
      <c r="I576" s="40">
        <v>0</v>
      </c>
      <c r="J576" s="40">
        <f>H576*AO576</f>
        <v>0</v>
      </c>
      <c r="K576" s="40">
        <f>H576*AP576</f>
        <v>0</v>
      </c>
      <c r="L576" s="40">
        <f>H576*I576</f>
        <v>0</v>
      </c>
      <c r="M576" s="69" t="s">
        <v>868</v>
      </c>
      <c r="Z576" s="40">
        <f>IF(AQ576="5",BJ576,0)</f>
        <v>0</v>
      </c>
      <c r="AB576" s="40">
        <f>IF(AQ576="1",BH576,0)</f>
        <v>0</v>
      </c>
      <c r="AC576" s="40">
        <f>IF(AQ576="1",BI576,0)</f>
        <v>0</v>
      </c>
      <c r="AD576" s="40">
        <f>IF(AQ576="7",BH576,0)</f>
        <v>0</v>
      </c>
      <c r="AE576" s="40">
        <f>IF(AQ576="7",BI576,0)</f>
        <v>0</v>
      </c>
      <c r="AF576" s="40">
        <f>IF(AQ576="2",BH576,0)</f>
        <v>0</v>
      </c>
      <c r="AG576" s="40">
        <f>IF(AQ576="2",BI576,0)</f>
        <v>0</v>
      </c>
      <c r="AH576" s="40">
        <f>IF(AQ576="0",BJ576,0)</f>
        <v>0</v>
      </c>
      <c r="AI576" s="11" t="s">
        <v>1121</v>
      </c>
      <c r="AJ576" s="40">
        <f>IF(AN576=0,L576,0)</f>
        <v>0</v>
      </c>
      <c r="AK576" s="40">
        <f>IF(AN576=15,L576,0)</f>
        <v>0</v>
      </c>
      <c r="AL576" s="40">
        <f>IF(AN576=21,L576,0)</f>
        <v>0</v>
      </c>
      <c r="AN576" s="40">
        <v>21</v>
      </c>
      <c r="AO576" s="40">
        <f>I576*0</f>
        <v>0</v>
      </c>
      <c r="AP576" s="40">
        <f>I576*(1-0)</f>
        <v>0</v>
      </c>
      <c r="AQ576" s="17" t="s">
        <v>578</v>
      </c>
      <c r="AV576" s="40">
        <f>AW576+AX576</f>
        <v>0</v>
      </c>
      <c r="AW576" s="40">
        <f>H576*AO576</f>
        <v>0</v>
      </c>
      <c r="AX576" s="40">
        <f>H576*AP576</f>
        <v>0</v>
      </c>
      <c r="AY576" s="17" t="s">
        <v>201</v>
      </c>
      <c r="AZ576" s="17" t="s">
        <v>1219</v>
      </c>
      <c r="BA576" s="11" t="s">
        <v>475</v>
      </c>
      <c r="BC576" s="40">
        <f>AW576+AX576</f>
        <v>0</v>
      </c>
      <c r="BD576" s="40">
        <f>I576/(100-BE576)*100</f>
        <v>0</v>
      </c>
      <c r="BE576" s="40">
        <v>0</v>
      </c>
      <c r="BF576" s="40">
        <f>576</f>
        <v>576</v>
      </c>
      <c r="BH576" s="40">
        <f>H576*AO576</f>
        <v>0</v>
      </c>
      <c r="BI576" s="40">
        <f>H576*AP576</f>
        <v>0</v>
      </c>
      <c r="BJ576" s="40">
        <f>H576*I576</f>
        <v>0</v>
      </c>
      <c r="BK576" s="40"/>
      <c r="BL576" s="40"/>
      <c r="BN576" s="40">
        <f>H576*I576</f>
        <v>0</v>
      </c>
    </row>
    <row r="577" spans="1:47" ht="15" customHeight="1">
      <c r="A577" s="24" t="s">
        <v>878</v>
      </c>
      <c r="B577" s="66" t="s">
        <v>67</v>
      </c>
      <c r="C577" s="92" t="s">
        <v>137</v>
      </c>
      <c r="D577" s="92"/>
      <c r="E577" s="92"/>
      <c r="F577" s="92"/>
      <c r="G577" s="3" t="s">
        <v>1172</v>
      </c>
      <c r="H577" s="3" t="s">
        <v>1172</v>
      </c>
      <c r="I577" s="3" t="s">
        <v>1172</v>
      </c>
      <c r="J577" s="63">
        <f>SUM(J578:J579)</f>
        <v>0</v>
      </c>
      <c r="K577" s="63">
        <f>SUM(K578:K579)</f>
        <v>0</v>
      </c>
      <c r="L577" s="63">
        <f>SUM(L578:L579)</f>
        <v>0</v>
      </c>
      <c r="M577" s="4" t="s">
        <v>878</v>
      </c>
      <c r="AI577" s="11" t="s">
        <v>1121</v>
      </c>
      <c r="AS577" s="63">
        <f>SUM(AJ578:AJ579)</f>
        <v>0</v>
      </c>
      <c r="AT577" s="63">
        <f>SUM(AK578:AK579)</f>
        <v>0</v>
      </c>
      <c r="AU577" s="63">
        <f>SUM(AL578:AL579)</f>
        <v>0</v>
      </c>
    </row>
    <row r="578" spans="1:67" ht="15" customHeight="1">
      <c r="A578" s="19" t="s">
        <v>219</v>
      </c>
      <c r="B578" s="59" t="s">
        <v>840</v>
      </c>
      <c r="C578" s="76" t="s">
        <v>137</v>
      </c>
      <c r="D578" s="76"/>
      <c r="E578" s="76"/>
      <c r="F578" s="76"/>
      <c r="G578" s="59" t="s">
        <v>852</v>
      </c>
      <c r="H578" s="40">
        <v>1</v>
      </c>
      <c r="I578" s="40">
        <v>0</v>
      </c>
      <c r="J578" s="40">
        <f>H578*AO578</f>
        <v>0</v>
      </c>
      <c r="K578" s="40">
        <f>H578*AP578</f>
        <v>0</v>
      </c>
      <c r="L578" s="40">
        <f>H578*I578</f>
        <v>0</v>
      </c>
      <c r="M578" s="69" t="s">
        <v>868</v>
      </c>
      <c r="Z578" s="40">
        <f>IF(AQ578="5",BJ578,0)</f>
        <v>0</v>
      </c>
      <c r="AB578" s="40">
        <f>IF(AQ578="1",BH578,0)</f>
        <v>0</v>
      </c>
      <c r="AC578" s="40">
        <f>IF(AQ578="1",BI578,0)</f>
        <v>0</v>
      </c>
      <c r="AD578" s="40">
        <f>IF(AQ578="7",BH578,0)</f>
        <v>0</v>
      </c>
      <c r="AE578" s="40">
        <f>IF(AQ578="7",BI578,0)</f>
        <v>0</v>
      </c>
      <c r="AF578" s="40">
        <f>IF(AQ578="2",BH578,0)</f>
        <v>0</v>
      </c>
      <c r="AG578" s="40">
        <f>IF(AQ578="2",BI578,0)</f>
        <v>0</v>
      </c>
      <c r="AH578" s="40">
        <f>IF(AQ578="0",BJ578,0)</f>
        <v>0</v>
      </c>
      <c r="AI578" s="11" t="s">
        <v>1121</v>
      </c>
      <c r="AJ578" s="40">
        <f>IF(AN578=0,L578,0)</f>
        <v>0</v>
      </c>
      <c r="AK578" s="40">
        <f>IF(AN578=15,L578,0)</f>
        <v>0</v>
      </c>
      <c r="AL578" s="40">
        <f>IF(AN578=21,L578,0)</f>
        <v>0</v>
      </c>
      <c r="AN578" s="40">
        <v>21</v>
      </c>
      <c r="AO578" s="40">
        <f>I578*0</f>
        <v>0</v>
      </c>
      <c r="AP578" s="40">
        <f>I578*(1-0)</f>
        <v>0</v>
      </c>
      <c r="AQ578" s="17" t="s">
        <v>578</v>
      </c>
      <c r="AV578" s="40">
        <f>AW578+AX578</f>
        <v>0</v>
      </c>
      <c r="AW578" s="40">
        <f>H578*AO578</f>
        <v>0</v>
      </c>
      <c r="AX578" s="40">
        <f>H578*AP578</f>
        <v>0</v>
      </c>
      <c r="AY578" s="17" t="s">
        <v>290</v>
      </c>
      <c r="AZ578" s="17" t="s">
        <v>1219</v>
      </c>
      <c r="BA578" s="11" t="s">
        <v>475</v>
      </c>
      <c r="BC578" s="40">
        <f>AW578+AX578</f>
        <v>0</v>
      </c>
      <c r="BD578" s="40">
        <f>I578/(100-BE578)*100</f>
        <v>0</v>
      </c>
      <c r="BE578" s="40">
        <v>0</v>
      </c>
      <c r="BF578" s="40">
        <f>578</f>
        <v>578</v>
      </c>
      <c r="BH578" s="40">
        <f>H578*AO578</f>
        <v>0</v>
      </c>
      <c r="BI578" s="40">
        <f>H578*AP578</f>
        <v>0</v>
      </c>
      <c r="BJ578" s="40">
        <f>H578*I578</f>
        <v>0</v>
      </c>
      <c r="BK578" s="40"/>
      <c r="BL578" s="40"/>
      <c r="BO578" s="40">
        <f>H578*I578</f>
        <v>0</v>
      </c>
    </row>
    <row r="579" spans="1:67" ht="15" customHeight="1">
      <c r="A579" s="19" t="s">
        <v>747</v>
      </c>
      <c r="B579" s="59" t="s">
        <v>235</v>
      </c>
      <c r="C579" s="76" t="s">
        <v>247</v>
      </c>
      <c r="D579" s="76"/>
      <c r="E579" s="76"/>
      <c r="F579" s="76"/>
      <c r="G579" s="59" t="s">
        <v>852</v>
      </c>
      <c r="H579" s="40">
        <v>1</v>
      </c>
      <c r="I579" s="40">
        <v>0</v>
      </c>
      <c r="J579" s="40">
        <f>H579*AO579</f>
        <v>0</v>
      </c>
      <c r="K579" s="40">
        <f>H579*AP579</f>
        <v>0</v>
      </c>
      <c r="L579" s="40">
        <f>H579*I579</f>
        <v>0</v>
      </c>
      <c r="M579" s="69" t="s">
        <v>868</v>
      </c>
      <c r="Z579" s="40">
        <f>IF(AQ579="5",BJ579,0)</f>
        <v>0</v>
      </c>
      <c r="AB579" s="40">
        <f>IF(AQ579="1",BH579,0)</f>
        <v>0</v>
      </c>
      <c r="AC579" s="40">
        <f>IF(AQ579="1",BI579,0)</f>
        <v>0</v>
      </c>
      <c r="AD579" s="40">
        <f>IF(AQ579="7",BH579,0)</f>
        <v>0</v>
      </c>
      <c r="AE579" s="40">
        <f>IF(AQ579="7",BI579,0)</f>
        <v>0</v>
      </c>
      <c r="AF579" s="40">
        <f>IF(AQ579="2",BH579,0)</f>
        <v>0</v>
      </c>
      <c r="AG579" s="40">
        <f>IF(AQ579="2",BI579,0)</f>
        <v>0</v>
      </c>
      <c r="AH579" s="40">
        <f>IF(AQ579="0",BJ579,0)</f>
        <v>0</v>
      </c>
      <c r="AI579" s="11" t="s">
        <v>1121</v>
      </c>
      <c r="AJ579" s="40">
        <f>IF(AN579=0,L579,0)</f>
        <v>0</v>
      </c>
      <c r="AK579" s="40">
        <f>IF(AN579=15,L579,0)</f>
        <v>0</v>
      </c>
      <c r="AL579" s="40">
        <f>IF(AN579=21,L579,0)</f>
        <v>0</v>
      </c>
      <c r="AN579" s="40">
        <v>21</v>
      </c>
      <c r="AO579" s="40">
        <f>I579*0</f>
        <v>0</v>
      </c>
      <c r="AP579" s="40">
        <f>I579*(1-0)</f>
        <v>0</v>
      </c>
      <c r="AQ579" s="17" t="s">
        <v>578</v>
      </c>
      <c r="AV579" s="40">
        <f>AW579+AX579</f>
        <v>0</v>
      </c>
      <c r="AW579" s="40">
        <f>H579*AO579</f>
        <v>0</v>
      </c>
      <c r="AX579" s="40">
        <f>H579*AP579</f>
        <v>0</v>
      </c>
      <c r="AY579" s="17" t="s">
        <v>290</v>
      </c>
      <c r="AZ579" s="17" t="s">
        <v>1219</v>
      </c>
      <c r="BA579" s="11" t="s">
        <v>475</v>
      </c>
      <c r="BC579" s="40">
        <f>AW579+AX579</f>
        <v>0</v>
      </c>
      <c r="BD579" s="40">
        <f>I579/(100-BE579)*100</f>
        <v>0</v>
      </c>
      <c r="BE579" s="40">
        <v>0</v>
      </c>
      <c r="BF579" s="40">
        <f>579</f>
        <v>579</v>
      </c>
      <c r="BH579" s="40">
        <f>H579*AO579</f>
        <v>0</v>
      </c>
      <c r="BI579" s="40">
        <f>H579*AP579</f>
        <v>0</v>
      </c>
      <c r="BJ579" s="40">
        <f>H579*I579</f>
        <v>0</v>
      </c>
      <c r="BK579" s="40"/>
      <c r="BL579" s="40"/>
      <c r="BO579" s="40">
        <f>H579*I579</f>
        <v>0</v>
      </c>
    </row>
    <row r="580" spans="1:47" ht="15" customHeight="1">
      <c r="A580" s="24" t="s">
        <v>878</v>
      </c>
      <c r="B580" s="66" t="s">
        <v>408</v>
      </c>
      <c r="C580" s="92" t="s">
        <v>1045</v>
      </c>
      <c r="D580" s="92"/>
      <c r="E580" s="92"/>
      <c r="F580" s="92"/>
      <c r="G580" s="3" t="s">
        <v>1172</v>
      </c>
      <c r="H580" s="3" t="s">
        <v>1172</v>
      </c>
      <c r="I580" s="3" t="s">
        <v>1172</v>
      </c>
      <c r="J580" s="63">
        <f>SUM(J581:J581)</f>
        <v>0</v>
      </c>
      <c r="K580" s="63">
        <f>SUM(K581:K581)</f>
        <v>0</v>
      </c>
      <c r="L580" s="63">
        <f>SUM(L581:L581)</f>
        <v>0</v>
      </c>
      <c r="M580" s="4" t="s">
        <v>878</v>
      </c>
      <c r="AI580" s="11" t="s">
        <v>1121</v>
      </c>
      <c r="AS580" s="63">
        <f>SUM(AJ581:AJ581)</f>
        <v>0</v>
      </c>
      <c r="AT580" s="63">
        <f>SUM(AK581:AK581)</f>
        <v>0</v>
      </c>
      <c r="AU580" s="63">
        <f>SUM(AL581:AL581)</f>
        <v>0</v>
      </c>
    </row>
    <row r="581" spans="1:68" ht="15" customHeight="1">
      <c r="A581" s="19" t="s">
        <v>1412</v>
      </c>
      <c r="B581" s="59" t="s">
        <v>857</v>
      </c>
      <c r="C581" s="76" t="s">
        <v>543</v>
      </c>
      <c r="D581" s="76"/>
      <c r="E581" s="76"/>
      <c r="F581" s="76"/>
      <c r="G581" s="59" t="s">
        <v>852</v>
      </c>
      <c r="H581" s="40">
        <v>1</v>
      </c>
      <c r="I581" s="40">
        <v>0</v>
      </c>
      <c r="J581" s="40">
        <f>H581*AO581</f>
        <v>0</v>
      </c>
      <c r="K581" s="40">
        <f>H581*AP581</f>
        <v>0</v>
      </c>
      <c r="L581" s="40">
        <f>H581*I581</f>
        <v>0</v>
      </c>
      <c r="M581" s="69" t="s">
        <v>868</v>
      </c>
      <c r="Z581" s="40">
        <f>IF(AQ581="5",BJ581,0)</f>
        <v>0</v>
      </c>
      <c r="AB581" s="40">
        <f>IF(AQ581="1",BH581,0)</f>
        <v>0</v>
      </c>
      <c r="AC581" s="40">
        <f>IF(AQ581="1",BI581,0)</f>
        <v>0</v>
      </c>
      <c r="AD581" s="40">
        <f>IF(AQ581="7",BH581,0)</f>
        <v>0</v>
      </c>
      <c r="AE581" s="40">
        <f>IF(AQ581="7",BI581,0)</f>
        <v>0</v>
      </c>
      <c r="AF581" s="40">
        <f>IF(AQ581="2",BH581,0)</f>
        <v>0</v>
      </c>
      <c r="AG581" s="40">
        <f>IF(AQ581="2",BI581,0)</f>
        <v>0</v>
      </c>
      <c r="AH581" s="40">
        <f>IF(AQ581="0",BJ581,0)</f>
        <v>0</v>
      </c>
      <c r="AI581" s="11" t="s">
        <v>1121</v>
      </c>
      <c r="AJ581" s="40">
        <f>IF(AN581=0,L581,0)</f>
        <v>0</v>
      </c>
      <c r="AK581" s="40">
        <f>IF(AN581=15,L581,0)</f>
        <v>0</v>
      </c>
      <c r="AL581" s="40">
        <f>IF(AN581=21,L581,0)</f>
        <v>0</v>
      </c>
      <c r="AN581" s="40">
        <v>21</v>
      </c>
      <c r="AO581" s="40">
        <f>I581*0</f>
        <v>0</v>
      </c>
      <c r="AP581" s="40">
        <f>I581*(1-0)</f>
        <v>0</v>
      </c>
      <c r="AQ581" s="17" t="s">
        <v>578</v>
      </c>
      <c r="AV581" s="40">
        <f>AW581+AX581</f>
        <v>0</v>
      </c>
      <c r="AW581" s="40">
        <f>H581*AO581</f>
        <v>0</v>
      </c>
      <c r="AX581" s="40">
        <f>H581*AP581</f>
        <v>0</v>
      </c>
      <c r="AY581" s="17" t="s">
        <v>1051</v>
      </c>
      <c r="AZ581" s="17" t="s">
        <v>1219</v>
      </c>
      <c r="BA581" s="11" t="s">
        <v>475</v>
      </c>
      <c r="BC581" s="40">
        <f>AW581+AX581</f>
        <v>0</v>
      </c>
      <c r="BD581" s="40">
        <f>I581/(100-BE581)*100</f>
        <v>0</v>
      </c>
      <c r="BE581" s="40">
        <v>0</v>
      </c>
      <c r="BF581" s="40">
        <f>581</f>
        <v>581</v>
      </c>
      <c r="BH581" s="40">
        <f>H581*AO581</f>
        <v>0</v>
      </c>
      <c r="BI581" s="40">
        <f>H581*AP581</f>
        <v>0</v>
      </c>
      <c r="BJ581" s="40">
        <f>H581*I581</f>
        <v>0</v>
      </c>
      <c r="BK581" s="40"/>
      <c r="BL581" s="40"/>
      <c r="BP581" s="40">
        <f>H581*I581</f>
        <v>0</v>
      </c>
    </row>
    <row r="582" spans="1:47" ht="15" customHeight="1">
      <c r="A582" s="24" t="s">
        <v>878</v>
      </c>
      <c r="B582" s="66" t="s">
        <v>935</v>
      </c>
      <c r="C582" s="92" t="s">
        <v>664</v>
      </c>
      <c r="D582" s="92"/>
      <c r="E582" s="92"/>
      <c r="F582" s="92"/>
      <c r="G582" s="3" t="s">
        <v>1172</v>
      </c>
      <c r="H582" s="3" t="s">
        <v>1172</v>
      </c>
      <c r="I582" s="3" t="s">
        <v>1172</v>
      </c>
      <c r="J582" s="63">
        <f>SUM(J583:J583)</f>
        <v>0</v>
      </c>
      <c r="K582" s="63">
        <f>SUM(K583:K583)</f>
        <v>0</v>
      </c>
      <c r="L582" s="63">
        <f>SUM(L583:L583)</f>
        <v>0</v>
      </c>
      <c r="M582" s="4" t="s">
        <v>878</v>
      </c>
      <c r="AI582" s="11" t="s">
        <v>1121</v>
      </c>
      <c r="AS582" s="63">
        <f>SUM(AJ583:AJ583)</f>
        <v>0</v>
      </c>
      <c r="AT582" s="63">
        <f>SUM(AK583:AK583)</f>
        <v>0</v>
      </c>
      <c r="AU582" s="63">
        <f>SUM(AL583:AL583)</f>
        <v>0</v>
      </c>
    </row>
    <row r="583" spans="1:71" ht="15" customHeight="1">
      <c r="A583" s="19" t="s">
        <v>566</v>
      </c>
      <c r="B583" s="59" t="s">
        <v>1209</v>
      </c>
      <c r="C583" s="76" t="s">
        <v>727</v>
      </c>
      <c r="D583" s="76"/>
      <c r="E583" s="76"/>
      <c r="F583" s="76"/>
      <c r="G583" s="59" t="s">
        <v>852</v>
      </c>
      <c r="H583" s="40">
        <v>1</v>
      </c>
      <c r="I583" s="40">
        <v>0</v>
      </c>
      <c r="J583" s="40">
        <f>H583*AO583</f>
        <v>0</v>
      </c>
      <c r="K583" s="40">
        <f>H583*AP583</f>
        <v>0</v>
      </c>
      <c r="L583" s="40">
        <f>H583*I583</f>
        <v>0</v>
      </c>
      <c r="M583" s="69" t="s">
        <v>868</v>
      </c>
      <c r="Z583" s="40">
        <f>IF(AQ583="5",BJ583,0)</f>
        <v>0</v>
      </c>
      <c r="AB583" s="40">
        <f>IF(AQ583="1",BH583,0)</f>
        <v>0</v>
      </c>
      <c r="AC583" s="40">
        <f>IF(AQ583="1",BI583,0)</f>
        <v>0</v>
      </c>
      <c r="AD583" s="40">
        <f>IF(AQ583="7",BH583,0)</f>
        <v>0</v>
      </c>
      <c r="AE583" s="40">
        <f>IF(AQ583="7",BI583,0)</f>
        <v>0</v>
      </c>
      <c r="AF583" s="40">
        <f>IF(AQ583="2",BH583,0)</f>
        <v>0</v>
      </c>
      <c r="AG583" s="40">
        <f>IF(AQ583="2",BI583,0)</f>
        <v>0</v>
      </c>
      <c r="AH583" s="40">
        <f>IF(AQ583="0",BJ583,0)</f>
        <v>0</v>
      </c>
      <c r="AI583" s="11" t="s">
        <v>1121</v>
      </c>
      <c r="AJ583" s="40">
        <f>IF(AN583=0,L583,0)</f>
        <v>0</v>
      </c>
      <c r="AK583" s="40">
        <f>IF(AN583=15,L583,0)</f>
        <v>0</v>
      </c>
      <c r="AL583" s="40">
        <f>IF(AN583=21,L583,0)</f>
        <v>0</v>
      </c>
      <c r="AN583" s="40">
        <v>21</v>
      </c>
      <c r="AO583" s="40">
        <f>I583*0</f>
        <v>0</v>
      </c>
      <c r="AP583" s="40">
        <f>I583*(1-0)</f>
        <v>0</v>
      </c>
      <c r="AQ583" s="17" t="s">
        <v>578</v>
      </c>
      <c r="AV583" s="40">
        <f>AW583+AX583</f>
        <v>0</v>
      </c>
      <c r="AW583" s="40">
        <f>H583*AO583</f>
        <v>0</v>
      </c>
      <c r="AX583" s="40">
        <f>H583*AP583</f>
        <v>0</v>
      </c>
      <c r="AY583" s="17" t="s">
        <v>1234</v>
      </c>
      <c r="AZ583" s="17" t="s">
        <v>1219</v>
      </c>
      <c r="BA583" s="11" t="s">
        <v>475</v>
      </c>
      <c r="BC583" s="40">
        <f>AW583+AX583</f>
        <v>0</v>
      </c>
      <c r="BD583" s="40">
        <f>I583/(100-BE583)*100</f>
        <v>0</v>
      </c>
      <c r="BE583" s="40">
        <v>0</v>
      </c>
      <c r="BF583" s="40">
        <f>583</f>
        <v>583</v>
      </c>
      <c r="BH583" s="40">
        <f>H583*AO583</f>
        <v>0</v>
      </c>
      <c r="BI583" s="40">
        <f>H583*AP583</f>
        <v>0</v>
      </c>
      <c r="BJ583" s="40">
        <f>H583*I583</f>
        <v>0</v>
      </c>
      <c r="BK583" s="40"/>
      <c r="BL583" s="40"/>
      <c r="BS583" s="40">
        <f>H583*I583</f>
        <v>0</v>
      </c>
    </row>
    <row r="584" spans="1:13" ht="13.5" customHeight="1">
      <c r="A584" s="67"/>
      <c r="B584" s="18" t="s">
        <v>114</v>
      </c>
      <c r="C584" s="93" t="s">
        <v>58</v>
      </c>
      <c r="D584" s="94"/>
      <c r="E584" s="94"/>
      <c r="F584" s="94"/>
      <c r="G584" s="94"/>
      <c r="H584" s="94"/>
      <c r="I584" s="94"/>
      <c r="J584" s="94"/>
      <c r="K584" s="94"/>
      <c r="L584" s="94"/>
      <c r="M584" s="95"/>
    </row>
    <row r="585" spans="1:13" ht="15" customHeight="1">
      <c r="A585" s="24" t="s">
        <v>878</v>
      </c>
      <c r="B585" s="66" t="s">
        <v>878</v>
      </c>
      <c r="C585" s="92" t="s">
        <v>1444</v>
      </c>
      <c r="D585" s="92"/>
      <c r="E585" s="92"/>
      <c r="F585" s="92"/>
      <c r="G585" s="3" t="s">
        <v>1172</v>
      </c>
      <c r="H585" s="3" t="s">
        <v>1172</v>
      </c>
      <c r="I585" s="3" t="s">
        <v>1172</v>
      </c>
      <c r="J585" s="63">
        <f>J586+J590+J592+J595+J598</f>
        <v>0</v>
      </c>
      <c r="K585" s="63">
        <f>K586+K590+K592+K595+K598</f>
        <v>0</v>
      </c>
      <c r="L585" s="63">
        <f>L586+L590+L592+L595+L598</f>
        <v>0</v>
      </c>
      <c r="M585" s="4" t="s">
        <v>878</v>
      </c>
    </row>
    <row r="586" spans="1:47" ht="15" customHeight="1">
      <c r="A586" s="24" t="s">
        <v>878</v>
      </c>
      <c r="B586" s="66" t="s">
        <v>123</v>
      </c>
      <c r="C586" s="92" t="s">
        <v>1052</v>
      </c>
      <c r="D586" s="92"/>
      <c r="E586" s="92"/>
      <c r="F586" s="92"/>
      <c r="G586" s="3" t="s">
        <v>1172</v>
      </c>
      <c r="H586" s="3" t="s">
        <v>1172</v>
      </c>
      <c r="I586" s="3" t="s">
        <v>1172</v>
      </c>
      <c r="J586" s="63">
        <f>SUM(J587:J589)</f>
        <v>0</v>
      </c>
      <c r="K586" s="63">
        <f>SUM(K587:K589)</f>
        <v>0</v>
      </c>
      <c r="L586" s="63">
        <f>SUM(L587:L589)</f>
        <v>0</v>
      </c>
      <c r="M586" s="4" t="s">
        <v>878</v>
      </c>
      <c r="AI586" s="11" t="s">
        <v>683</v>
      </c>
      <c r="AS586" s="63">
        <f>SUM(AJ587:AJ589)</f>
        <v>0</v>
      </c>
      <c r="AT586" s="63">
        <f>SUM(AK587:AK589)</f>
        <v>0</v>
      </c>
      <c r="AU586" s="63">
        <f>SUM(AL587:AL589)</f>
        <v>0</v>
      </c>
    </row>
    <row r="587" spans="1:64" ht="15" customHeight="1">
      <c r="A587" s="19" t="s">
        <v>765</v>
      </c>
      <c r="B587" s="59" t="s">
        <v>642</v>
      </c>
      <c r="C587" s="76" t="s">
        <v>173</v>
      </c>
      <c r="D587" s="76"/>
      <c r="E587" s="76"/>
      <c r="F587" s="76"/>
      <c r="G587" s="59" t="s">
        <v>1220</v>
      </c>
      <c r="H587" s="40">
        <v>455</v>
      </c>
      <c r="I587" s="40">
        <v>0</v>
      </c>
      <c r="J587" s="40">
        <f>H587*AO587</f>
        <v>0</v>
      </c>
      <c r="K587" s="40">
        <f>H587*AP587</f>
        <v>0</v>
      </c>
      <c r="L587" s="40">
        <f>H587*I587</f>
        <v>0</v>
      </c>
      <c r="M587" s="69" t="s">
        <v>868</v>
      </c>
      <c r="Z587" s="40">
        <f>IF(AQ587="5",BJ587,0)</f>
        <v>0</v>
      </c>
      <c r="AB587" s="40">
        <f>IF(AQ587="1",BH587,0)</f>
        <v>0</v>
      </c>
      <c r="AC587" s="40">
        <f>IF(AQ587="1",BI587,0)</f>
        <v>0</v>
      </c>
      <c r="AD587" s="40">
        <f>IF(AQ587="7",BH587,0)</f>
        <v>0</v>
      </c>
      <c r="AE587" s="40">
        <f>IF(AQ587="7",BI587,0)</f>
        <v>0</v>
      </c>
      <c r="AF587" s="40">
        <f>IF(AQ587="2",BH587,0)</f>
        <v>0</v>
      </c>
      <c r="AG587" s="40">
        <f>IF(AQ587="2",BI587,0)</f>
        <v>0</v>
      </c>
      <c r="AH587" s="40">
        <f>IF(AQ587="0",BJ587,0)</f>
        <v>0</v>
      </c>
      <c r="AI587" s="11" t="s">
        <v>683</v>
      </c>
      <c r="AJ587" s="40">
        <f>IF(AN587=0,L587,0)</f>
        <v>0</v>
      </c>
      <c r="AK587" s="40">
        <f>IF(AN587=15,L587,0)</f>
        <v>0</v>
      </c>
      <c r="AL587" s="40">
        <f>IF(AN587=21,L587,0)</f>
        <v>0</v>
      </c>
      <c r="AN587" s="40">
        <v>21</v>
      </c>
      <c r="AO587" s="40">
        <f>I587*0</f>
        <v>0</v>
      </c>
      <c r="AP587" s="40">
        <f>I587*(1-0)</f>
        <v>0</v>
      </c>
      <c r="AQ587" s="17" t="s">
        <v>1260</v>
      </c>
      <c r="AV587" s="40">
        <f>AW587+AX587</f>
        <v>0</v>
      </c>
      <c r="AW587" s="40">
        <f>H587*AO587</f>
        <v>0</v>
      </c>
      <c r="AX587" s="40">
        <f>H587*AP587</f>
        <v>0</v>
      </c>
      <c r="AY587" s="17" t="s">
        <v>1175</v>
      </c>
      <c r="AZ587" s="17" t="s">
        <v>659</v>
      </c>
      <c r="BA587" s="11" t="s">
        <v>1364</v>
      </c>
      <c r="BC587" s="40">
        <f>AW587+AX587</f>
        <v>0</v>
      </c>
      <c r="BD587" s="40">
        <f>I587/(100-BE587)*100</f>
        <v>0</v>
      </c>
      <c r="BE587" s="40">
        <v>0</v>
      </c>
      <c r="BF587" s="40">
        <f>587</f>
        <v>587</v>
      </c>
      <c r="BH587" s="40">
        <f>H587*AO587</f>
        <v>0</v>
      </c>
      <c r="BI587" s="40">
        <f>H587*AP587</f>
        <v>0</v>
      </c>
      <c r="BJ587" s="40">
        <f>H587*I587</f>
        <v>0</v>
      </c>
      <c r="BK587" s="40"/>
      <c r="BL587" s="40">
        <v>16</v>
      </c>
    </row>
    <row r="588" spans="1:64" ht="15" customHeight="1">
      <c r="A588" s="19" t="s">
        <v>258</v>
      </c>
      <c r="B588" s="59" t="s">
        <v>1138</v>
      </c>
      <c r="C588" s="76" t="s">
        <v>161</v>
      </c>
      <c r="D588" s="76"/>
      <c r="E588" s="76"/>
      <c r="F588" s="76"/>
      <c r="G588" s="59" t="s">
        <v>1220</v>
      </c>
      <c r="H588" s="40">
        <v>455</v>
      </c>
      <c r="I588" s="40">
        <v>0</v>
      </c>
      <c r="J588" s="40">
        <f>H588*AO588</f>
        <v>0</v>
      </c>
      <c r="K588" s="40">
        <f>H588*AP588</f>
        <v>0</v>
      </c>
      <c r="L588" s="40">
        <f>H588*I588</f>
        <v>0</v>
      </c>
      <c r="M588" s="69" t="s">
        <v>868</v>
      </c>
      <c r="Z588" s="40">
        <f>IF(AQ588="5",BJ588,0)</f>
        <v>0</v>
      </c>
      <c r="AB588" s="40">
        <f>IF(AQ588="1",BH588,0)</f>
        <v>0</v>
      </c>
      <c r="AC588" s="40">
        <f>IF(AQ588="1",BI588,0)</f>
        <v>0</v>
      </c>
      <c r="AD588" s="40">
        <f>IF(AQ588="7",BH588,0)</f>
        <v>0</v>
      </c>
      <c r="AE588" s="40">
        <f>IF(AQ588="7",BI588,0)</f>
        <v>0</v>
      </c>
      <c r="AF588" s="40">
        <f>IF(AQ588="2",BH588,0)</f>
        <v>0</v>
      </c>
      <c r="AG588" s="40">
        <f>IF(AQ588="2",BI588,0)</f>
        <v>0</v>
      </c>
      <c r="AH588" s="40">
        <f>IF(AQ588="0",BJ588,0)</f>
        <v>0</v>
      </c>
      <c r="AI588" s="11" t="s">
        <v>683</v>
      </c>
      <c r="AJ588" s="40">
        <f>IF(AN588=0,L588,0)</f>
        <v>0</v>
      </c>
      <c r="AK588" s="40">
        <f>IF(AN588=15,L588,0)</f>
        <v>0</v>
      </c>
      <c r="AL588" s="40">
        <f>IF(AN588=21,L588,0)</f>
        <v>0</v>
      </c>
      <c r="AN588" s="40">
        <v>21</v>
      </c>
      <c r="AO588" s="40">
        <f>I588*0</f>
        <v>0</v>
      </c>
      <c r="AP588" s="40">
        <f>I588*(1-0)</f>
        <v>0</v>
      </c>
      <c r="AQ588" s="17" t="s">
        <v>1260</v>
      </c>
      <c r="AV588" s="40">
        <f>AW588+AX588</f>
        <v>0</v>
      </c>
      <c r="AW588" s="40">
        <f>H588*AO588</f>
        <v>0</v>
      </c>
      <c r="AX588" s="40">
        <f>H588*AP588</f>
        <v>0</v>
      </c>
      <c r="AY588" s="17" t="s">
        <v>1175</v>
      </c>
      <c r="AZ588" s="17" t="s">
        <v>659</v>
      </c>
      <c r="BA588" s="11" t="s">
        <v>1364</v>
      </c>
      <c r="BC588" s="40">
        <f>AW588+AX588</f>
        <v>0</v>
      </c>
      <c r="BD588" s="40">
        <f>I588/(100-BE588)*100</f>
        <v>0</v>
      </c>
      <c r="BE588" s="40">
        <v>0</v>
      </c>
      <c r="BF588" s="40">
        <f>588</f>
        <v>588</v>
      </c>
      <c r="BH588" s="40">
        <f>H588*AO588</f>
        <v>0</v>
      </c>
      <c r="BI588" s="40">
        <f>H588*AP588</f>
        <v>0</v>
      </c>
      <c r="BJ588" s="40">
        <f>H588*I588</f>
        <v>0</v>
      </c>
      <c r="BK588" s="40"/>
      <c r="BL588" s="40">
        <v>16</v>
      </c>
    </row>
    <row r="589" spans="1:64" ht="15" customHeight="1">
      <c r="A589" s="19" t="s">
        <v>1407</v>
      </c>
      <c r="B589" s="59" t="s">
        <v>1037</v>
      </c>
      <c r="C589" s="76" t="s">
        <v>313</v>
      </c>
      <c r="D589" s="76"/>
      <c r="E589" s="76"/>
      <c r="F589" s="76"/>
      <c r="G589" s="59" t="s">
        <v>1220</v>
      </c>
      <c r="H589" s="40">
        <v>455</v>
      </c>
      <c r="I589" s="40">
        <v>0</v>
      </c>
      <c r="J589" s="40">
        <f>H589*AO589</f>
        <v>0</v>
      </c>
      <c r="K589" s="40">
        <f>H589*AP589</f>
        <v>0</v>
      </c>
      <c r="L589" s="40">
        <f>H589*I589</f>
        <v>0</v>
      </c>
      <c r="M589" s="69" t="s">
        <v>868</v>
      </c>
      <c r="Z589" s="40">
        <f>IF(AQ589="5",BJ589,0)</f>
        <v>0</v>
      </c>
      <c r="AB589" s="40">
        <f>IF(AQ589="1",BH589,0)</f>
        <v>0</v>
      </c>
      <c r="AC589" s="40">
        <f>IF(AQ589="1",BI589,0)</f>
        <v>0</v>
      </c>
      <c r="AD589" s="40">
        <f>IF(AQ589="7",BH589,0)</f>
        <v>0</v>
      </c>
      <c r="AE589" s="40">
        <f>IF(AQ589="7",BI589,0)</f>
        <v>0</v>
      </c>
      <c r="AF589" s="40">
        <f>IF(AQ589="2",BH589,0)</f>
        <v>0</v>
      </c>
      <c r="AG589" s="40">
        <f>IF(AQ589="2",BI589,0)</f>
        <v>0</v>
      </c>
      <c r="AH589" s="40">
        <f>IF(AQ589="0",BJ589,0)</f>
        <v>0</v>
      </c>
      <c r="AI589" s="11" t="s">
        <v>683</v>
      </c>
      <c r="AJ589" s="40">
        <f>IF(AN589=0,L589,0)</f>
        <v>0</v>
      </c>
      <c r="AK589" s="40">
        <f>IF(AN589=15,L589,0)</f>
        <v>0</v>
      </c>
      <c r="AL589" s="40">
        <f>IF(AN589=21,L589,0)</f>
        <v>0</v>
      </c>
      <c r="AN589" s="40">
        <v>21</v>
      </c>
      <c r="AO589" s="40">
        <f>I589*0</f>
        <v>0</v>
      </c>
      <c r="AP589" s="40">
        <f>I589*(1-0)</f>
        <v>0</v>
      </c>
      <c r="AQ589" s="17" t="s">
        <v>1260</v>
      </c>
      <c r="AV589" s="40">
        <f>AW589+AX589</f>
        <v>0</v>
      </c>
      <c r="AW589" s="40">
        <f>H589*AO589</f>
        <v>0</v>
      </c>
      <c r="AX589" s="40">
        <f>H589*AP589</f>
        <v>0</v>
      </c>
      <c r="AY589" s="17" t="s">
        <v>1175</v>
      </c>
      <c r="AZ589" s="17" t="s">
        <v>659</v>
      </c>
      <c r="BA589" s="11" t="s">
        <v>1364</v>
      </c>
      <c r="BC589" s="40">
        <f>AW589+AX589</f>
        <v>0</v>
      </c>
      <c r="BD589" s="40">
        <f>I589/(100-BE589)*100</f>
        <v>0</v>
      </c>
      <c r="BE589" s="40">
        <v>0</v>
      </c>
      <c r="BF589" s="40">
        <f>589</f>
        <v>589</v>
      </c>
      <c r="BH589" s="40">
        <f>H589*AO589</f>
        <v>0</v>
      </c>
      <c r="BI589" s="40">
        <f>H589*AP589</f>
        <v>0</v>
      </c>
      <c r="BJ589" s="40">
        <f>H589*I589</f>
        <v>0</v>
      </c>
      <c r="BK589" s="40"/>
      <c r="BL589" s="40">
        <v>16</v>
      </c>
    </row>
    <row r="590" spans="1:47" ht="15" customHeight="1">
      <c r="A590" s="24" t="s">
        <v>878</v>
      </c>
      <c r="B590" s="66" t="s">
        <v>885</v>
      </c>
      <c r="C590" s="92" t="s">
        <v>179</v>
      </c>
      <c r="D590" s="92"/>
      <c r="E590" s="92"/>
      <c r="F590" s="92"/>
      <c r="G590" s="3" t="s">
        <v>1172</v>
      </c>
      <c r="H590" s="3" t="s">
        <v>1172</v>
      </c>
      <c r="I590" s="3" t="s">
        <v>1172</v>
      </c>
      <c r="J590" s="63">
        <f>SUM(J591:J591)</f>
        <v>0</v>
      </c>
      <c r="K590" s="63">
        <f>SUM(K591:K591)</f>
        <v>0</v>
      </c>
      <c r="L590" s="63">
        <f>SUM(L591:L591)</f>
        <v>0</v>
      </c>
      <c r="M590" s="4" t="s">
        <v>878</v>
      </c>
      <c r="AI590" s="11" t="s">
        <v>683</v>
      </c>
      <c r="AS590" s="63">
        <f>SUM(AJ591:AJ591)</f>
        <v>0</v>
      </c>
      <c r="AT590" s="63">
        <f>SUM(AK591:AK591)</f>
        <v>0</v>
      </c>
      <c r="AU590" s="63">
        <f>SUM(AL591:AL591)</f>
        <v>0</v>
      </c>
    </row>
    <row r="591" spans="1:64" ht="15" customHeight="1">
      <c r="A591" s="19" t="s">
        <v>827</v>
      </c>
      <c r="B591" s="59" t="s">
        <v>410</v>
      </c>
      <c r="C591" s="76" t="s">
        <v>1142</v>
      </c>
      <c r="D591" s="76"/>
      <c r="E591" s="76"/>
      <c r="F591" s="76"/>
      <c r="G591" s="59" t="s">
        <v>1220</v>
      </c>
      <c r="H591" s="40">
        <v>227.5</v>
      </c>
      <c r="I591" s="40">
        <v>0</v>
      </c>
      <c r="J591" s="40">
        <f>H591*AO591</f>
        <v>0</v>
      </c>
      <c r="K591" s="40">
        <f>H591*AP591</f>
        <v>0</v>
      </c>
      <c r="L591" s="40">
        <f>H591*I591</f>
        <v>0</v>
      </c>
      <c r="M591" s="69" t="s">
        <v>868</v>
      </c>
      <c r="Z591" s="40">
        <f>IF(AQ591="5",BJ591,0)</f>
        <v>0</v>
      </c>
      <c r="AB591" s="40">
        <f>IF(AQ591="1",BH591,0)</f>
        <v>0</v>
      </c>
      <c r="AC591" s="40">
        <f>IF(AQ591="1",BI591,0)</f>
        <v>0</v>
      </c>
      <c r="AD591" s="40">
        <f>IF(AQ591="7",BH591,0)</f>
        <v>0</v>
      </c>
      <c r="AE591" s="40">
        <f>IF(AQ591="7",BI591,0)</f>
        <v>0</v>
      </c>
      <c r="AF591" s="40">
        <f>IF(AQ591="2",BH591,0)</f>
        <v>0</v>
      </c>
      <c r="AG591" s="40">
        <f>IF(AQ591="2",BI591,0)</f>
        <v>0</v>
      </c>
      <c r="AH591" s="40">
        <f>IF(AQ591="0",BJ591,0)</f>
        <v>0</v>
      </c>
      <c r="AI591" s="11" t="s">
        <v>683</v>
      </c>
      <c r="AJ591" s="40">
        <f>IF(AN591=0,L591,0)</f>
        <v>0</v>
      </c>
      <c r="AK591" s="40">
        <f>IF(AN591=15,L591,0)</f>
        <v>0</v>
      </c>
      <c r="AL591" s="40">
        <f>IF(AN591=21,L591,0)</f>
        <v>0</v>
      </c>
      <c r="AN591" s="40">
        <v>21</v>
      </c>
      <c r="AO591" s="40">
        <f>I591*0</f>
        <v>0</v>
      </c>
      <c r="AP591" s="40">
        <f>I591*(1-0)</f>
        <v>0</v>
      </c>
      <c r="AQ591" s="17" t="s">
        <v>1260</v>
      </c>
      <c r="AV591" s="40">
        <f>AW591+AX591</f>
        <v>0</v>
      </c>
      <c r="AW591" s="40">
        <f>H591*AO591</f>
        <v>0</v>
      </c>
      <c r="AX591" s="40">
        <f>H591*AP591</f>
        <v>0</v>
      </c>
      <c r="AY591" s="17" t="s">
        <v>251</v>
      </c>
      <c r="AZ591" s="17" t="s">
        <v>659</v>
      </c>
      <c r="BA591" s="11" t="s">
        <v>1364</v>
      </c>
      <c r="BC591" s="40">
        <f>AW591+AX591</f>
        <v>0</v>
      </c>
      <c r="BD591" s="40">
        <f>I591/(100-BE591)*100</f>
        <v>0</v>
      </c>
      <c r="BE591" s="40">
        <v>0</v>
      </c>
      <c r="BF591" s="40">
        <f>591</f>
        <v>591</v>
      </c>
      <c r="BH591" s="40">
        <f>H591*AO591</f>
        <v>0</v>
      </c>
      <c r="BI591" s="40">
        <f>H591*AP591</f>
        <v>0</v>
      </c>
      <c r="BJ591" s="40">
        <f>H591*I591</f>
        <v>0</v>
      </c>
      <c r="BK591" s="40"/>
      <c r="BL591" s="40">
        <v>17</v>
      </c>
    </row>
    <row r="592" spans="1:47" ht="15" customHeight="1">
      <c r="A592" s="24" t="s">
        <v>878</v>
      </c>
      <c r="B592" s="66" t="s">
        <v>63</v>
      </c>
      <c r="C592" s="92" t="s">
        <v>100</v>
      </c>
      <c r="D592" s="92"/>
      <c r="E592" s="92"/>
      <c r="F592" s="92"/>
      <c r="G592" s="3" t="s">
        <v>1172</v>
      </c>
      <c r="H592" s="3" t="s">
        <v>1172</v>
      </c>
      <c r="I592" s="3" t="s">
        <v>1172</v>
      </c>
      <c r="J592" s="63">
        <f>SUM(J593:J594)</f>
        <v>0</v>
      </c>
      <c r="K592" s="63">
        <f>SUM(K593:K594)</f>
        <v>0</v>
      </c>
      <c r="L592" s="63">
        <f>SUM(L593:L594)</f>
        <v>0</v>
      </c>
      <c r="M592" s="4" t="s">
        <v>878</v>
      </c>
      <c r="AI592" s="11" t="s">
        <v>683</v>
      </c>
      <c r="AS592" s="63">
        <f>SUM(AJ593:AJ594)</f>
        <v>0</v>
      </c>
      <c r="AT592" s="63">
        <f>SUM(AK593:AK594)</f>
        <v>0</v>
      </c>
      <c r="AU592" s="63">
        <f>SUM(AL593:AL594)</f>
        <v>0</v>
      </c>
    </row>
    <row r="593" spans="1:64" ht="15" customHeight="1">
      <c r="A593" s="19" t="s">
        <v>1021</v>
      </c>
      <c r="B593" s="59" t="s">
        <v>352</v>
      </c>
      <c r="C593" s="76" t="s">
        <v>191</v>
      </c>
      <c r="D593" s="76"/>
      <c r="E593" s="76"/>
      <c r="F593" s="76"/>
      <c r="G593" s="59" t="s">
        <v>312</v>
      </c>
      <c r="H593" s="40">
        <v>8</v>
      </c>
      <c r="I593" s="40">
        <v>0</v>
      </c>
      <c r="J593" s="40">
        <f>H593*AO593</f>
        <v>0</v>
      </c>
      <c r="K593" s="40">
        <f>H593*AP593</f>
        <v>0</v>
      </c>
      <c r="L593" s="40">
        <f>H593*I593</f>
        <v>0</v>
      </c>
      <c r="M593" s="69" t="s">
        <v>868</v>
      </c>
      <c r="Z593" s="40">
        <f>IF(AQ593="5",BJ593,0)</f>
        <v>0</v>
      </c>
      <c r="AB593" s="40">
        <f>IF(AQ593="1",BH593,0)</f>
        <v>0</v>
      </c>
      <c r="AC593" s="40">
        <f>IF(AQ593="1",BI593,0)</f>
        <v>0</v>
      </c>
      <c r="AD593" s="40">
        <f>IF(AQ593="7",BH593,0)</f>
        <v>0</v>
      </c>
      <c r="AE593" s="40">
        <f>IF(AQ593="7",BI593,0)</f>
        <v>0</v>
      </c>
      <c r="AF593" s="40">
        <f>IF(AQ593="2",BH593,0)</f>
        <v>0</v>
      </c>
      <c r="AG593" s="40">
        <f>IF(AQ593="2",BI593,0)</f>
        <v>0</v>
      </c>
      <c r="AH593" s="40">
        <f>IF(AQ593="0",BJ593,0)</f>
        <v>0</v>
      </c>
      <c r="AI593" s="11" t="s">
        <v>683</v>
      </c>
      <c r="AJ593" s="40">
        <f>IF(AN593=0,L593,0)</f>
        <v>0</v>
      </c>
      <c r="AK593" s="40">
        <f>IF(AN593=15,L593,0)</f>
        <v>0</v>
      </c>
      <c r="AL593" s="40">
        <f>IF(AN593=21,L593,0)</f>
        <v>0</v>
      </c>
      <c r="AN593" s="40">
        <v>21</v>
      </c>
      <c r="AO593" s="40">
        <f>I593*0</f>
        <v>0</v>
      </c>
      <c r="AP593" s="40">
        <f>I593*(1-0)</f>
        <v>0</v>
      </c>
      <c r="AQ593" s="17" t="s">
        <v>1260</v>
      </c>
      <c r="AV593" s="40">
        <f>AW593+AX593</f>
        <v>0</v>
      </c>
      <c r="AW593" s="40">
        <f>H593*AO593</f>
        <v>0</v>
      </c>
      <c r="AX593" s="40">
        <f>H593*AP593</f>
        <v>0</v>
      </c>
      <c r="AY593" s="17" t="s">
        <v>88</v>
      </c>
      <c r="AZ593" s="17" t="s">
        <v>1198</v>
      </c>
      <c r="BA593" s="11" t="s">
        <v>1364</v>
      </c>
      <c r="BC593" s="40">
        <f>AW593+AX593</f>
        <v>0</v>
      </c>
      <c r="BD593" s="40">
        <f>I593/(100-BE593)*100</f>
        <v>0</v>
      </c>
      <c r="BE593" s="40">
        <v>0</v>
      </c>
      <c r="BF593" s="40">
        <f>593</f>
        <v>593</v>
      </c>
      <c r="BH593" s="40">
        <f>H593*AO593</f>
        <v>0</v>
      </c>
      <c r="BI593" s="40">
        <f>H593*AP593</f>
        <v>0</v>
      </c>
      <c r="BJ593" s="40">
        <f>H593*I593</f>
        <v>0</v>
      </c>
      <c r="BK593" s="40"/>
      <c r="BL593" s="40">
        <v>87</v>
      </c>
    </row>
    <row r="594" spans="1:64" ht="15" customHeight="1">
      <c r="A594" s="19" t="s">
        <v>424</v>
      </c>
      <c r="B594" s="59" t="s">
        <v>525</v>
      </c>
      <c r="C594" s="76" t="s">
        <v>38</v>
      </c>
      <c r="D594" s="76"/>
      <c r="E594" s="76"/>
      <c r="F594" s="76"/>
      <c r="G594" s="59" t="s">
        <v>312</v>
      </c>
      <c r="H594" s="40">
        <v>4</v>
      </c>
      <c r="I594" s="40">
        <v>0</v>
      </c>
      <c r="J594" s="40">
        <f>H594*AO594</f>
        <v>0</v>
      </c>
      <c r="K594" s="40">
        <f>H594*AP594</f>
        <v>0</v>
      </c>
      <c r="L594" s="40">
        <f>H594*I594</f>
        <v>0</v>
      </c>
      <c r="M594" s="69" t="s">
        <v>868</v>
      </c>
      <c r="Z594" s="40">
        <f>IF(AQ594="5",BJ594,0)</f>
        <v>0</v>
      </c>
      <c r="AB594" s="40">
        <f>IF(AQ594="1",BH594,0)</f>
        <v>0</v>
      </c>
      <c r="AC594" s="40">
        <f>IF(AQ594="1",BI594,0)</f>
        <v>0</v>
      </c>
      <c r="AD594" s="40">
        <f>IF(AQ594="7",BH594,0)</f>
        <v>0</v>
      </c>
      <c r="AE594" s="40">
        <f>IF(AQ594="7",BI594,0)</f>
        <v>0</v>
      </c>
      <c r="AF594" s="40">
        <f>IF(AQ594="2",BH594,0)</f>
        <v>0</v>
      </c>
      <c r="AG594" s="40">
        <f>IF(AQ594="2",BI594,0)</f>
        <v>0</v>
      </c>
      <c r="AH594" s="40">
        <f>IF(AQ594="0",BJ594,0)</f>
        <v>0</v>
      </c>
      <c r="AI594" s="11" t="s">
        <v>683</v>
      </c>
      <c r="AJ594" s="40">
        <f>IF(AN594=0,L594,0)</f>
        <v>0</v>
      </c>
      <c r="AK594" s="40">
        <f>IF(AN594=15,L594,0)</f>
        <v>0</v>
      </c>
      <c r="AL594" s="40">
        <f>IF(AN594=21,L594,0)</f>
        <v>0</v>
      </c>
      <c r="AN594" s="40">
        <v>21</v>
      </c>
      <c r="AO594" s="40">
        <f>I594*1</f>
        <v>0</v>
      </c>
      <c r="AP594" s="40">
        <f>I594*(1-1)</f>
        <v>0</v>
      </c>
      <c r="AQ594" s="17" t="s">
        <v>1260</v>
      </c>
      <c r="AV594" s="40">
        <f>AW594+AX594</f>
        <v>0</v>
      </c>
      <c r="AW594" s="40">
        <f>H594*AO594</f>
        <v>0</v>
      </c>
      <c r="AX594" s="40">
        <f>H594*AP594</f>
        <v>0</v>
      </c>
      <c r="AY594" s="17" t="s">
        <v>88</v>
      </c>
      <c r="AZ594" s="17" t="s">
        <v>1198</v>
      </c>
      <c r="BA594" s="11" t="s">
        <v>1364</v>
      </c>
      <c r="BC594" s="40">
        <f>AW594+AX594</f>
        <v>0</v>
      </c>
      <c r="BD594" s="40">
        <f>I594/(100-BE594)*100</f>
        <v>0</v>
      </c>
      <c r="BE594" s="40">
        <v>0</v>
      </c>
      <c r="BF594" s="40">
        <f>594</f>
        <v>594</v>
      </c>
      <c r="BH594" s="40">
        <f>H594*AO594</f>
        <v>0</v>
      </c>
      <c r="BI594" s="40">
        <f>H594*AP594</f>
        <v>0</v>
      </c>
      <c r="BJ594" s="40">
        <f>H594*I594</f>
        <v>0</v>
      </c>
      <c r="BK594" s="40"/>
      <c r="BL594" s="40">
        <v>87</v>
      </c>
    </row>
    <row r="595" spans="1:47" ht="15" customHeight="1">
      <c r="A595" s="24" t="s">
        <v>878</v>
      </c>
      <c r="B595" s="66" t="s">
        <v>1338</v>
      </c>
      <c r="C595" s="92" t="s">
        <v>823</v>
      </c>
      <c r="D595" s="92"/>
      <c r="E595" s="92"/>
      <c r="F595" s="92"/>
      <c r="G595" s="3" t="s">
        <v>1172</v>
      </c>
      <c r="H595" s="3" t="s">
        <v>1172</v>
      </c>
      <c r="I595" s="3" t="s">
        <v>1172</v>
      </c>
      <c r="J595" s="63">
        <f>SUM(J596:J597)</f>
        <v>0</v>
      </c>
      <c r="K595" s="63">
        <f>SUM(K596:K597)</f>
        <v>0</v>
      </c>
      <c r="L595" s="63">
        <f>SUM(L596:L597)</f>
        <v>0</v>
      </c>
      <c r="M595" s="4" t="s">
        <v>878</v>
      </c>
      <c r="AI595" s="11" t="s">
        <v>683</v>
      </c>
      <c r="AS595" s="63">
        <f>SUM(AJ596:AJ597)</f>
        <v>0</v>
      </c>
      <c r="AT595" s="63">
        <f>SUM(AK596:AK597)</f>
        <v>0</v>
      </c>
      <c r="AU595" s="63">
        <f>SUM(AL596:AL597)</f>
        <v>0</v>
      </c>
    </row>
    <row r="596" spans="1:64" ht="15" customHeight="1">
      <c r="A596" s="19" t="s">
        <v>420</v>
      </c>
      <c r="B596" s="59" t="s">
        <v>905</v>
      </c>
      <c r="C596" s="76" t="s">
        <v>599</v>
      </c>
      <c r="D596" s="76"/>
      <c r="E596" s="76"/>
      <c r="F596" s="76"/>
      <c r="G596" s="59" t="s">
        <v>1041</v>
      </c>
      <c r="H596" s="40">
        <v>695</v>
      </c>
      <c r="I596" s="40">
        <v>0</v>
      </c>
      <c r="J596" s="40">
        <f>H596*AO596</f>
        <v>0</v>
      </c>
      <c r="K596" s="40">
        <f>H596*AP596</f>
        <v>0</v>
      </c>
      <c r="L596" s="40">
        <f>H596*I596</f>
        <v>0</v>
      </c>
      <c r="M596" s="69" t="s">
        <v>868</v>
      </c>
      <c r="Z596" s="40">
        <f>IF(AQ596="5",BJ596,0)</f>
        <v>0</v>
      </c>
      <c r="AB596" s="40">
        <f>IF(AQ596="1",BH596,0)</f>
        <v>0</v>
      </c>
      <c r="AC596" s="40">
        <f>IF(AQ596="1",BI596,0)</f>
        <v>0</v>
      </c>
      <c r="AD596" s="40">
        <f>IF(AQ596="7",BH596,0)</f>
        <v>0</v>
      </c>
      <c r="AE596" s="40">
        <f>IF(AQ596="7",BI596,0)</f>
        <v>0</v>
      </c>
      <c r="AF596" s="40">
        <f>IF(AQ596="2",BH596,0)</f>
        <v>0</v>
      </c>
      <c r="AG596" s="40">
        <f>IF(AQ596="2",BI596,0)</f>
        <v>0</v>
      </c>
      <c r="AH596" s="40">
        <f>IF(AQ596="0",BJ596,0)</f>
        <v>0</v>
      </c>
      <c r="AI596" s="11" t="s">
        <v>683</v>
      </c>
      <c r="AJ596" s="40">
        <f>IF(AN596=0,L596,0)</f>
        <v>0</v>
      </c>
      <c r="AK596" s="40">
        <f>IF(AN596=15,L596,0)</f>
        <v>0</v>
      </c>
      <c r="AL596" s="40">
        <f>IF(AN596=21,L596,0)</f>
        <v>0</v>
      </c>
      <c r="AN596" s="40">
        <v>21</v>
      </c>
      <c r="AO596" s="40">
        <f>I596*0.0056565170297268</f>
        <v>0</v>
      </c>
      <c r="AP596" s="40">
        <f>I596*(1-0.0056565170297268)</f>
        <v>0</v>
      </c>
      <c r="AQ596" s="17" t="s">
        <v>1260</v>
      </c>
      <c r="AV596" s="40">
        <f>AW596+AX596</f>
        <v>0</v>
      </c>
      <c r="AW596" s="40">
        <f>H596*AO596</f>
        <v>0</v>
      </c>
      <c r="AX596" s="40">
        <f>H596*AP596</f>
        <v>0</v>
      </c>
      <c r="AY596" s="17" t="s">
        <v>106</v>
      </c>
      <c r="AZ596" s="17" t="s">
        <v>1198</v>
      </c>
      <c r="BA596" s="11" t="s">
        <v>1364</v>
      </c>
      <c r="BC596" s="40">
        <f>AW596+AX596</f>
        <v>0</v>
      </c>
      <c r="BD596" s="40">
        <f>I596/(100-BE596)*100</f>
        <v>0</v>
      </c>
      <c r="BE596" s="40">
        <v>0</v>
      </c>
      <c r="BF596" s="40">
        <f>596</f>
        <v>596</v>
      </c>
      <c r="BH596" s="40">
        <f>H596*AO596</f>
        <v>0</v>
      </c>
      <c r="BI596" s="40">
        <f>H596*AP596</f>
        <v>0</v>
      </c>
      <c r="BJ596" s="40">
        <f>H596*I596</f>
        <v>0</v>
      </c>
      <c r="BK596" s="40"/>
      <c r="BL596" s="40">
        <v>89</v>
      </c>
    </row>
    <row r="597" spans="1:64" ht="15" customHeight="1">
      <c r="A597" s="19" t="s">
        <v>139</v>
      </c>
      <c r="B597" s="59" t="s">
        <v>1179</v>
      </c>
      <c r="C597" s="76" t="s">
        <v>250</v>
      </c>
      <c r="D597" s="76"/>
      <c r="E597" s="76"/>
      <c r="F597" s="76"/>
      <c r="G597" s="59" t="s">
        <v>1041</v>
      </c>
      <c r="H597" s="40">
        <v>695</v>
      </c>
      <c r="I597" s="40">
        <v>0</v>
      </c>
      <c r="J597" s="40">
        <f>H597*AO597</f>
        <v>0</v>
      </c>
      <c r="K597" s="40">
        <f>H597*AP597</f>
        <v>0</v>
      </c>
      <c r="L597" s="40">
        <f>H597*I597</f>
        <v>0</v>
      </c>
      <c r="M597" s="69" t="s">
        <v>868</v>
      </c>
      <c r="Z597" s="40">
        <f>IF(AQ597="5",BJ597,0)</f>
        <v>0</v>
      </c>
      <c r="AB597" s="40">
        <f>IF(AQ597="1",BH597,0)</f>
        <v>0</v>
      </c>
      <c r="AC597" s="40">
        <f>IF(AQ597="1",BI597,0)</f>
        <v>0</v>
      </c>
      <c r="AD597" s="40">
        <f>IF(AQ597="7",BH597,0)</f>
        <v>0</v>
      </c>
      <c r="AE597" s="40">
        <f>IF(AQ597="7",BI597,0)</f>
        <v>0</v>
      </c>
      <c r="AF597" s="40">
        <f>IF(AQ597="2",BH597,0)</f>
        <v>0</v>
      </c>
      <c r="AG597" s="40">
        <f>IF(AQ597="2",BI597,0)</f>
        <v>0</v>
      </c>
      <c r="AH597" s="40">
        <f>IF(AQ597="0",BJ597,0)</f>
        <v>0</v>
      </c>
      <c r="AI597" s="11" t="s">
        <v>683</v>
      </c>
      <c r="AJ597" s="40">
        <f>IF(AN597=0,L597,0)</f>
        <v>0</v>
      </c>
      <c r="AK597" s="40">
        <f>IF(AN597=15,L597,0)</f>
        <v>0</v>
      </c>
      <c r="AL597" s="40">
        <f>IF(AN597=21,L597,0)</f>
        <v>0</v>
      </c>
      <c r="AN597" s="40">
        <v>21</v>
      </c>
      <c r="AO597" s="40">
        <f>I597*0.0239934932899553</f>
        <v>0</v>
      </c>
      <c r="AP597" s="40">
        <f>I597*(1-0.0239934932899553)</f>
        <v>0</v>
      </c>
      <c r="AQ597" s="17" t="s">
        <v>1260</v>
      </c>
      <c r="AV597" s="40">
        <f>AW597+AX597</f>
        <v>0</v>
      </c>
      <c r="AW597" s="40">
        <f>H597*AO597</f>
        <v>0</v>
      </c>
      <c r="AX597" s="40">
        <f>H597*AP597</f>
        <v>0</v>
      </c>
      <c r="AY597" s="17" t="s">
        <v>106</v>
      </c>
      <c r="AZ597" s="17" t="s">
        <v>1198</v>
      </c>
      <c r="BA597" s="11" t="s">
        <v>1364</v>
      </c>
      <c r="BC597" s="40">
        <f>AW597+AX597</f>
        <v>0</v>
      </c>
      <c r="BD597" s="40">
        <f>I597/(100-BE597)*100</f>
        <v>0</v>
      </c>
      <c r="BE597" s="40">
        <v>0</v>
      </c>
      <c r="BF597" s="40">
        <f>597</f>
        <v>597</v>
      </c>
      <c r="BH597" s="40">
        <f>H597*AO597</f>
        <v>0</v>
      </c>
      <c r="BI597" s="40">
        <f>H597*AP597</f>
        <v>0</v>
      </c>
      <c r="BJ597" s="40">
        <f>H597*I597</f>
        <v>0</v>
      </c>
      <c r="BK597" s="40"/>
      <c r="BL597" s="40">
        <v>89</v>
      </c>
    </row>
    <row r="598" spans="1:47" ht="15" customHeight="1">
      <c r="A598" s="24" t="s">
        <v>878</v>
      </c>
      <c r="B598" s="66" t="s">
        <v>1335</v>
      </c>
      <c r="C598" s="92" t="s">
        <v>933</v>
      </c>
      <c r="D598" s="92"/>
      <c r="E598" s="92"/>
      <c r="F598" s="92"/>
      <c r="G598" s="3" t="s">
        <v>1172</v>
      </c>
      <c r="H598" s="3" t="s">
        <v>1172</v>
      </c>
      <c r="I598" s="3" t="s">
        <v>1172</v>
      </c>
      <c r="J598" s="63">
        <f>SUM(J599:J609)</f>
        <v>0</v>
      </c>
      <c r="K598" s="63">
        <f>SUM(K599:K609)</f>
        <v>0</v>
      </c>
      <c r="L598" s="63">
        <f>SUM(L599:L609)</f>
        <v>0</v>
      </c>
      <c r="M598" s="4" t="s">
        <v>878</v>
      </c>
      <c r="AI598" s="11" t="s">
        <v>683</v>
      </c>
      <c r="AS598" s="63">
        <f>SUM(AJ599:AJ609)</f>
        <v>0</v>
      </c>
      <c r="AT598" s="63">
        <f>SUM(AK599:AK609)</f>
        <v>0</v>
      </c>
      <c r="AU598" s="63">
        <f>SUM(AL599:AL609)</f>
        <v>0</v>
      </c>
    </row>
    <row r="599" spans="1:64" ht="15" customHeight="1">
      <c r="A599" s="19" t="s">
        <v>205</v>
      </c>
      <c r="B599" s="59" t="s">
        <v>600</v>
      </c>
      <c r="C599" s="76" t="s">
        <v>237</v>
      </c>
      <c r="D599" s="76"/>
      <c r="E599" s="76"/>
      <c r="F599" s="76"/>
      <c r="G599" s="59" t="s">
        <v>1041</v>
      </c>
      <c r="H599" s="40">
        <v>695</v>
      </c>
      <c r="I599" s="40">
        <v>0</v>
      </c>
      <c r="J599" s="40">
        <f aca="true" t="shared" si="430" ref="J599:J609">H599*AO599</f>
        <v>0</v>
      </c>
      <c r="K599" s="40">
        <f aca="true" t="shared" si="431" ref="K599:K609">H599*AP599</f>
        <v>0</v>
      </c>
      <c r="L599" s="40">
        <f aca="true" t="shared" si="432" ref="L599:L609">H599*I599</f>
        <v>0</v>
      </c>
      <c r="M599" s="69" t="s">
        <v>868</v>
      </c>
      <c r="Z599" s="40">
        <f aca="true" t="shared" si="433" ref="Z599:Z609">IF(AQ599="5",BJ599,0)</f>
        <v>0</v>
      </c>
      <c r="AB599" s="40">
        <f aca="true" t="shared" si="434" ref="AB599:AB609">IF(AQ599="1",BH599,0)</f>
        <v>0</v>
      </c>
      <c r="AC599" s="40">
        <f aca="true" t="shared" si="435" ref="AC599:AC609">IF(AQ599="1",BI599,0)</f>
        <v>0</v>
      </c>
      <c r="AD599" s="40">
        <f aca="true" t="shared" si="436" ref="AD599:AD609">IF(AQ599="7",BH599,0)</f>
        <v>0</v>
      </c>
      <c r="AE599" s="40">
        <f aca="true" t="shared" si="437" ref="AE599:AE609">IF(AQ599="7",BI599,0)</f>
        <v>0</v>
      </c>
      <c r="AF599" s="40">
        <f aca="true" t="shared" si="438" ref="AF599:AF609">IF(AQ599="2",BH599,0)</f>
        <v>0</v>
      </c>
      <c r="AG599" s="40">
        <f aca="true" t="shared" si="439" ref="AG599:AG609">IF(AQ599="2",BI599,0)</f>
        <v>0</v>
      </c>
      <c r="AH599" s="40">
        <f aca="true" t="shared" si="440" ref="AH599:AH609">IF(AQ599="0",BJ599,0)</f>
        <v>0</v>
      </c>
      <c r="AI599" s="11" t="s">
        <v>683</v>
      </c>
      <c r="AJ599" s="40">
        <f aca="true" t="shared" si="441" ref="AJ599:AJ609">IF(AN599=0,L599,0)</f>
        <v>0</v>
      </c>
      <c r="AK599" s="40">
        <f aca="true" t="shared" si="442" ref="AK599:AK609">IF(AN599=15,L599,0)</f>
        <v>0</v>
      </c>
      <c r="AL599" s="40">
        <f aca="true" t="shared" si="443" ref="AL599:AL609">IF(AN599=21,L599,0)</f>
        <v>0</v>
      </c>
      <c r="AN599" s="40">
        <v>21</v>
      </c>
      <c r="AO599" s="40">
        <f>I599*0</f>
        <v>0</v>
      </c>
      <c r="AP599" s="40">
        <f>I599*(1-0)</f>
        <v>0</v>
      </c>
      <c r="AQ599" s="17" t="s">
        <v>873</v>
      </c>
      <c r="AV599" s="40">
        <f aca="true" t="shared" si="444" ref="AV599:AV609">AW599+AX599</f>
        <v>0</v>
      </c>
      <c r="AW599" s="40">
        <f aca="true" t="shared" si="445" ref="AW599:AW609">H599*AO599</f>
        <v>0</v>
      </c>
      <c r="AX599" s="40">
        <f aca="true" t="shared" si="446" ref="AX599:AX609">H599*AP599</f>
        <v>0</v>
      </c>
      <c r="AY599" s="17" t="s">
        <v>1173</v>
      </c>
      <c r="AZ599" s="17" t="s">
        <v>1136</v>
      </c>
      <c r="BA599" s="11" t="s">
        <v>1364</v>
      </c>
      <c r="BC599" s="40">
        <f aca="true" t="shared" si="447" ref="BC599:BC609">AW599+AX599</f>
        <v>0</v>
      </c>
      <c r="BD599" s="40">
        <f aca="true" t="shared" si="448" ref="BD599:BD609">I599/(100-BE599)*100</f>
        <v>0</v>
      </c>
      <c r="BE599" s="40">
        <v>0</v>
      </c>
      <c r="BF599" s="40">
        <f>599</f>
        <v>599</v>
      </c>
      <c r="BH599" s="40">
        <f aca="true" t="shared" si="449" ref="BH599:BH609">H599*AO599</f>
        <v>0</v>
      </c>
      <c r="BI599" s="40">
        <f aca="true" t="shared" si="450" ref="BI599:BI609">H599*AP599</f>
        <v>0</v>
      </c>
      <c r="BJ599" s="40">
        <f aca="true" t="shared" si="451" ref="BJ599:BJ609">H599*I599</f>
        <v>0</v>
      </c>
      <c r="BK599" s="40"/>
      <c r="BL599" s="40"/>
    </row>
    <row r="600" spans="1:64" ht="15" customHeight="1">
      <c r="A600" s="19" t="s">
        <v>7</v>
      </c>
      <c r="B600" s="59" t="s">
        <v>501</v>
      </c>
      <c r="C600" s="76" t="s">
        <v>521</v>
      </c>
      <c r="D600" s="76"/>
      <c r="E600" s="76"/>
      <c r="F600" s="76"/>
      <c r="G600" s="59" t="s">
        <v>1041</v>
      </c>
      <c r="H600" s="40">
        <v>260</v>
      </c>
      <c r="I600" s="40">
        <v>0</v>
      </c>
      <c r="J600" s="40">
        <f t="shared" si="430"/>
        <v>0</v>
      </c>
      <c r="K600" s="40">
        <f t="shared" si="431"/>
        <v>0</v>
      </c>
      <c r="L600" s="40">
        <f t="shared" si="432"/>
        <v>0</v>
      </c>
      <c r="M600" s="69" t="s">
        <v>868</v>
      </c>
      <c r="Z600" s="40">
        <f t="shared" si="433"/>
        <v>0</v>
      </c>
      <c r="AB600" s="40">
        <f t="shared" si="434"/>
        <v>0</v>
      </c>
      <c r="AC600" s="40">
        <f t="shared" si="435"/>
        <v>0</v>
      </c>
      <c r="AD600" s="40">
        <f t="shared" si="436"/>
        <v>0</v>
      </c>
      <c r="AE600" s="40">
        <f t="shared" si="437"/>
        <v>0</v>
      </c>
      <c r="AF600" s="40">
        <f t="shared" si="438"/>
        <v>0</v>
      </c>
      <c r="AG600" s="40">
        <f t="shared" si="439"/>
        <v>0</v>
      </c>
      <c r="AH600" s="40">
        <f t="shared" si="440"/>
        <v>0</v>
      </c>
      <c r="AI600" s="11" t="s">
        <v>683</v>
      </c>
      <c r="AJ600" s="40">
        <f t="shared" si="441"/>
        <v>0</v>
      </c>
      <c r="AK600" s="40">
        <f t="shared" si="442"/>
        <v>0</v>
      </c>
      <c r="AL600" s="40">
        <f t="shared" si="443"/>
        <v>0</v>
      </c>
      <c r="AN600" s="40">
        <v>21</v>
      </c>
      <c r="AO600" s="40">
        <f>I600*1</f>
        <v>0</v>
      </c>
      <c r="AP600" s="40">
        <f>I600*(1-1)</f>
        <v>0</v>
      </c>
      <c r="AQ600" s="17" t="s">
        <v>1260</v>
      </c>
      <c r="AV600" s="40">
        <f t="shared" si="444"/>
        <v>0</v>
      </c>
      <c r="AW600" s="40">
        <f t="shared" si="445"/>
        <v>0</v>
      </c>
      <c r="AX600" s="40">
        <f t="shared" si="446"/>
        <v>0</v>
      </c>
      <c r="AY600" s="17" t="s">
        <v>1173</v>
      </c>
      <c r="AZ600" s="17" t="s">
        <v>1136</v>
      </c>
      <c r="BA600" s="11" t="s">
        <v>1364</v>
      </c>
      <c r="BC600" s="40">
        <f t="shared" si="447"/>
        <v>0</v>
      </c>
      <c r="BD600" s="40">
        <f t="shared" si="448"/>
        <v>0</v>
      </c>
      <c r="BE600" s="40">
        <v>0</v>
      </c>
      <c r="BF600" s="40">
        <f>600</f>
        <v>600</v>
      </c>
      <c r="BH600" s="40">
        <f t="shared" si="449"/>
        <v>0</v>
      </c>
      <c r="BI600" s="40">
        <f t="shared" si="450"/>
        <v>0</v>
      </c>
      <c r="BJ600" s="40">
        <f t="shared" si="451"/>
        <v>0</v>
      </c>
      <c r="BK600" s="40"/>
      <c r="BL600" s="40"/>
    </row>
    <row r="601" spans="1:64" ht="15" customHeight="1">
      <c r="A601" s="19" t="s">
        <v>266</v>
      </c>
      <c r="B601" s="59" t="s">
        <v>414</v>
      </c>
      <c r="C601" s="76" t="s">
        <v>175</v>
      </c>
      <c r="D601" s="76"/>
      <c r="E601" s="76"/>
      <c r="F601" s="76"/>
      <c r="G601" s="59" t="s">
        <v>1041</v>
      </c>
      <c r="H601" s="40">
        <v>175</v>
      </c>
      <c r="I601" s="40">
        <v>0</v>
      </c>
      <c r="J601" s="40">
        <f t="shared" si="430"/>
        <v>0</v>
      </c>
      <c r="K601" s="40">
        <f t="shared" si="431"/>
        <v>0</v>
      </c>
      <c r="L601" s="40">
        <f t="shared" si="432"/>
        <v>0</v>
      </c>
      <c r="M601" s="69" t="s">
        <v>868</v>
      </c>
      <c r="Z601" s="40">
        <f t="shared" si="433"/>
        <v>0</v>
      </c>
      <c r="AB601" s="40">
        <f t="shared" si="434"/>
        <v>0</v>
      </c>
      <c r="AC601" s="40">
        <f t="shared" si="435"/>
        <v>0</v>
      </c>
      <c r="AD601" s="40">
        <f t="shared" si="436"/>
        <v>0</v>
      </c>
      <c r="AE601" s="40">
        <f t="shared" si="437"/>
        <v>0</v>
      </c>
      <c r="AF601" s="40">
        <f t="shared" si="438"/>
        <v>0</v>
      </c>
      <c r="AG601" s="40">
        <f t="shared" si="439"/>
        <v>0</v>
      </c>
      <c r="AH601" s="40">
        <f t="shared" si="440"/>
        <v>0</v>
      </c>
      <c r="AI601" s="11" t="s">
        <v>683</v>
      </c>
      <c r="AJ601" s="40">
        <f t="shared" si="441"/>
        <v>0</v>
      </c>
      <c r="AK601" s="40">
        <f t="shared" si="442"/>
        <v>0</v>
      </c>
      <c r="AL601" s="40">
        <f t="shared" si="443"/>
        <v>0</v>
      </c>
      <c r="AN601" s="40">
        <v>21</v>
      </c>
      <c r="AO601" s="40">
        <f>I601*1</f>
        <v>0</v>
      </c>
      <c r="AP601" s="40">
        <f>I601*(1-1)</f>
        <v>0</v>
      </c>
      <c r="AQ601" s="17" t="s">
        <v>1260</v>
      </c>
      <c r="AV601" s="40">
        <f t="shared" si="444"/>
        <v>0</v>
      </c>
      <c r="AW601" s="40">
        <f t="shared" si="445"/>
        <v>0</v>
      </c>
      <c r="AX601" s="40">
        <f t="shared" si="446"/>
        <v>0</v>
      </c>
      <c r="AY601" s="17" t="s">
        <v>1173</v>
      </c>
      <c r="AZ601" s="17" t="s">
        <v>1136</v>
      </c>
      <c r="BA601" s="11" t="s">
        <v>1364</v>
      </c>
      <c r="BC601" s="40">
        <f t="shared" si="447"/>
        <v>0</v>
      </c>
      <c r="BD601" s="40">
        <f t="shared" si="448"/>
        <v>0</v>
      </c>
      <c r="BE601" s="40">
        <v>0</v>
      </c>
      <c r="BF601" s="40">
        <f>601</f>
        <v>601</v>
      </c>
      <c r="BH601" s="40">
        <f t="shared" si="449"/>
        <v>0</v>
      </c>
      <c r="BI601" s="40">
        <f t="shared" si="450"/>
        <v>0</v>
      </c>
      <c r="BJ601" s="40">
        <f t="shared" si="451"/>
        <v>0</v>
      </c>
      <c r="BK601" s="40"/>
      <c r="BL601" s="40"/>
    </row>
    <row r="602" spans="1:64" ht="15" customHeight="1">
      <c r="A602" s="19" t="s">
        <v>1180</v>
      </c>
      <c r="B602" s="59" t="s">
        <v>301</v>
      </c>
      <c r="C602" s="76" t="s">
        <v>770</v>
      </c>
      <c r="D602" s="76"/>
      <c r="E602" s="76"/>
      <c r="F602" s="76"/>
      <c r="G602" s="59" t="s">
        <v>1041</v>
      </c>
      <c r="H602" s="40">
        <v>460</v>
      </c>
      <c r="I602" s="40">
        <v>0</v>
      </c>
      <c r="J602" s="40">
        <f t="shared" si="430"/>
        <v>0</v>
      </c>
      <c r="K602" s="40">
        <f t="shared" si="431"/>
        <v>0</v>
      </c>
      <c r="L602" s="40">
        <f t="shared" si="432"/>
        <v>0</v>
      </c>
      <c r="M602" s="69" t="s">
        <v>868</v>
      </c>
      <c r="Z602" s="40">
        <f t="shared" si="433"/>
        <v>0</v>
      </c>
      <c r="AB602" s="40">
        <f t="shared" si="434"/>
        <v>0</v>
      </c>
      <c r="AC602" s="40">
        <f t="shared" si="435"/>
        <v>0</v>
      </c>
      <c r="AD602" s="40">
        <f t="shared" si="436"/>
        <v>0</v>
      </c>
      <c r="AE602" s="40">
        <f t="shared" si="437"/>
        <v>0</v>
      </c>
      <c r="AF602" s="40">
        <f t="shared" si="438"/>
        <v>0</v>
      </c>
      <c r="AG602" s="40">
        <f t="shared" si="439"/>
        <v>0</v>
      </c>
      <c r="AH602" s="40">
        <f t="shared" si="440"/>
        <v>0</v>
      </c>
      <c r="AI602" s="11" t="s">
        <v>683</v>
      </c>
      <c r="AJ602" s="40">
        <f t="shared" si="441"/>
        <v>0</v>
      </c>
      <c r="AK602" s="40">
        <f t="shared" si="442"/>
        <v>0</v>
      </c>
      <c r="AL602" s="40">
        <f t="shared" si="443"/>
        <v>0</v>
      </c>
      <c r="AN602" s="40">
        <v>21</v>
      </c>
      <c r="AO602" s="40">
        <f>I602*0</f>
        <v>0</v>
      </c>
      <c r="AP602" s="40">
        <f>I602*(1-0)</f>
        <v>0</v>
      </c>
      <c r="AQ602" s="17" t="s">
        <v>1260</v>
      </c>
      <c r="AV602" s="40">
        <f t="shared" si="444"/>
        <v>0</v>
      </c>
      <c r="AW602" s="40">
        <f t="shared" si="445"/>
        <v>0</v>
      </c>
      <c r="AX602" s="40">
        <f t="shared" si="446"/>
        <v>0</v>
      </c>
      <c r="AY602" s="17" t="s">
        <v>1173</v>
      </c>
      <c r="AZ602" s="17" t="s">
        <v>1136</v>
      </c>
      <c r="BA602" s="11" t="s">
        <v>1364</v>
      </c>
      <c r="BC602" s="40">
        <f t="shared" si="447"/>
        <v>0</v>
      </c>
      <c r="BD602" s="40">
        <f t="shared" si="448"/>
        <v>0</v>
      </c>
      <c r="BE602" s="40">
        <v>0</v>
      </c>
      <c r="BF602" s="40">
        <f>602</f>
        <v>602</v>
      </c>
      <c r="BH602" s="40">
        <f t="shared" si="449"/>
        <v>0</v>
      </c>
      <c r="BI602" s="40">
        <f t="shared" si="450"/>
        <v>0</v>
      </c>
      <c r="BJ602" s="40">
        <f t="shared" si="451"/>
        <v>0</v>
      </c>
      <c r="BK602" s="40"/>
      <c r="BL602" s="40"/>
    </row>
    <row r="603" spans="1:64" ht="15" customHeight="1">
      <c r="A603" s="19" t="s">
        <v>763</v>
      </c>
      <c r="B603" s="59" t="s">
        <v>655</v>
      </c>
      <c r="C603" s="76" t="s">
        <v>889</v>
      </c>
      <c r="D603" s="76"/>
      <c r="E603" s="76"/>
      <c r="F603" s="76"/>
      <c r="G603" s="59" t="s">
        <v>312</v>
      </c>
      <c r="H603" s="40">
        <v>118</v>
      </c>
      <c r="I603" s="40">
        <v>0</v>
      </c>
      <c r="J603" s="40">
        <f t="shared" si="430"/>
        <v>0</v>
      </c>
      <c r="K603" s="40">
        <f t="shared" si="431"/>
        <v>0</v>
      </c>
      <c r="L603" s="40">
        <f t="shared" si="432"/>
        <v>0</v>
      </c>
      <c r="M603" s="69" t="s">
        <v>868</v>
      </c>
      <c r="Z603" s="40">
        <f t="shared" si="433"/>
        <v>0</v>
      </c>
      <c r="AB603" s="40">
        <f t="shared" si="434"/>
        <v>0</v>
      </c>
      <c r="AC603" s="40">
        <f t="shared" si="435"/>
        <v>0</v>
      </c>
      <c r="AD603" s="40">
        <f t="shared" si="436"/>
        <v>0</v>
      </c>
      <c r="AE603" s="40">
        <f t="shared" si="437"/>
        <v>0</v>
      </c>
      <c r="AF603" s="40">
        <f t="shared" si="438"/>
        <v>0</v>
      </c>
      <c r="AG603" s="40">
        <f t="shared" si="439"/>
        <v>0</v>
      </c>
      <c r="AH603" s="40">
        <f t="shared" si="440"/>
        <v>0</v>
      </c>
      <c r="AI603" s="11" t="s">
        <v>683</v>
      </c>
      <c r="AJ603" s="40">
        <f t="shared" si="441"/>
        <v>0</v>
      </c>
      <c r="AK603" s="40">
        <f t="shared" si="442"/>
        <v>0</v>
      </c>
      <c r="AL603" s="40">
        <f t="shared" si="443"/>
        <v>0</v>
      </c>
      <c r="AN603" s="40">
        <v>21</v>
      </c>
      <c r="AO603" s="40">
        <f>I603*0</f>
        <v>0</v>
      </c>
      <c r="AP603" s="40">
        <f>I603*(1-0)</f>
        <v>0</v>
      </c>
      <c r="AQ603" s="17" t="s">
        <v>873</v>
      </c>
      <c r="AV603" s="40">
        <f t="shared" si="444"/>
        <v>0</v>
      </c>
      <c r="AW603" s="40">
        <f t="shared" si="445"/>
        <v>0</v>
      </c>
      <c r="AX603" s="40">
        <f t="shared" si="446"/>
        <v>0</v>
      </c>
      <c r="AY603" s="17" t="s">
        <v>1173</v>
      </c>
      <c r="AZ603" s="17" t="s">
        <v>1136</v>
      </c>
      <c r="BA603" s="11" t="s">
        <v>1364</v>
      </c>
      <c r="BC603" s="40">
        <f t="shared" si="447"/>
        <v>0</v>
      </c>
      <c r="BD603" s="40">
        <f t="shared" si="448"/>
        <v>0</v>
      </c>
      <c r="BE603" s="40">
        <v>0</v>
      </c>
      <c r="BF603" s="40">
        <f>603</f>
        <v>603</v>
      </c>
      <c r="BH603" s="40">
        <f t="shared" si="449"/>
        <v>0</v>
      </c>
      <c r="BI603" s="40">
        <f t="shared" si="450"/>
        <v>0</v>
      </c>
      <c r="BJ603" s="40">
        <f t="shared" si="451"/>
        <v>0</v>
      </c>
      <c r="BK603" s="40"/>
      <c r="BL603" s="40"/>
    </row>
    <row r="604" spans="1:64" ht="15" customHeight="1">
      <c r="A604" s="19" t="s">
        <v>1372</v>
      </c>
      <c r="B604" s="59" t="s">
        <v>280</v>
      </c>
      <c r="C604" s="76" t="s">
        <v>187</v>
      </c>
      <c r="D604" s="76"/>
      <c r="E604" s="76"/>
      <c r="F604" s="76"/>
      <c r="G604" s="59" t="s">
        <v>312</v>
      </c>
      <c r="H604" s="40">
        <v>2</v>
      </c>
      <c r="I604" s="40">
        <v>0</v>
      </c>
      <c r="J604" s="40">
        <f t="shared" si="430"/>
        <v>0</v>
      </c>
      <c r="K604" s="40">
        <f t="shared" si="431"/>
        <v>0</v>
      </c>
      <c r="L604" s="40">
        <f t="shared" si="432"/>
        <v>0</v>
      </c>
      <c r="M604" s="69" t="s">
        <v>868</v>
      </c>
      <c r="Z604" s="40">
        <f t="shared" si="433"/>
        <v>0</v>
      </c>
      <c r="AB604" s="40">
        <f t="shared" si="434"/>
        <v>0</v>
      </c>
      <c r="AC604" s="40">
        <f t="shared" si="435"/>
        <v>0</v>
      </c>
      <c r="AD604" s="40">
        <f t="shared" si="436"/>
        <v>0</v>
      </c>
      <c r="AE604" s="40">
        <f t="shared" si="437"/>
        <v>0</v>
      </c>
      <c r="AF604" s="40">
        <f t="shared" si="438"/>
        <v>0</v>
      </c>
      <c r="AG604" s="40">
        <f t="shared" si="439"/>
        <v>0</v>
      </c>
      <c r="AH604" s="40">
        <f t="shared" si="440"/>
        <v>0</v>
      </c>
      <c r="AI604" s="11" t="s">
        <v>683</v>
      </c>
      <c r="AJ604" s="40">
        <f t="shared" si="441"/>
        <v>0</v>
      </c>
      <c r="AK604" s="40">
        <f t="shared" si="442"/>
        <v>0</v>
      </c>
      <c r="AL604" s="40">
        <f t="shared" si="443"/>
        <v>0</v>
      </c>
      <c r="AN604" s="40">
        <v>21</v>
      </c>
      <c r="AO604" s="40">
        <f aca="true" t="shared" si="452" ref="AO604:AO609">I604*1</f>
        <v>0</v>
      </c>
      <c r="AP604" s="40">
        <f aca="true" t="shared" si="453" ref="AP604:AP609">I604*(1-1)</f>
        <v>0</v>
      </c>
      <c r="AQ604" s="17" t="s">
        <v>1260</v>
      </c>
      <c r="AV604" s="40">
        <f t="shared" si="444"/>
        <v>0</v>
      </c>
      <c r="AW604" s="40">
        <f t="shared" si="445"/>
        <v>0</v>
      </c>
      <c r="AX604" s="40">
        <f t="shared" si="446"/>
        <v>0</v>
      </c>
      <c r="AY604" s="17" t="s">
        <v>1173</v>
      </c>
      <c r="AZ604" s="17" t="s">
        <v>1136</v>
      </c>
      <c r="BA604" s="11" t="s">
        <v>1364</v>
      </c>
      <c r="BC604" s="40">
        <f t="shared" si="447"/>
        <v>0</v>
      </c>
      <c r="BD604" s="40">
        <f t="shared" si="448"/>
        <v>0</v>
      </c>
      <c r="BE604" s="40">
        <v>0</v>
      </c>
      <c r="BF604" s="40">
        <f>604</f>
        <v>604</v>
      </c>
      <c r="BH604" s="40">
        <f t="shared" si="449"/>
        <v>0</v>
      </c>
      <c r="BI604" s="40">
        <f t="shared" si="450"/>
        <v>0</v>
      </c>
      <c r="BJ604" s="40">
        <f t="shared" si="451"/>
        <v>0</v>
      </c>
      <c r="BK604" s="40"/>
      <c r="BL604" s="40"/>
    </row>
    <row r="605" spans="1:64" ht="15" customHeight="1">
      <c r="A605" s="19" t="s">
        <v>644</v>
      </c>
      <c r="B605" s="59" t="s">
        <v>86</v>
      </c>
      <c r="C605" s="76" t="s">
        <v>1285</v>
      </c>
      <c r="D605" s="76"/>
      <c r="E605" s="76"/>
      <c r="F605" s="76"/>
      <c r="G605" s="59" t="s">
        <v>312</v>
      </c>
      <c r="H605" s="40">
        <v>35</v>
      </c>
      <c r="I605" s="40">
        <v>0</v>
      </c>
      <c r="J605" s="40">
        <f t="shared" si="430"/>
        <v>0</v>
      </c>
      <c r="K605" s="40">
        <f t="shared" si="431"/>
        <v>0</v>
      </c>
      <c r="L605" s="40">
        <f t="shared" si="432"/>
        <v>0</v>
      </c>
      <c r="M605" s="69" t="s">
        <v>868</v>
      </c>
      <c r="Z605" s="40">
        <f t="shared" si="433"/>
        <v>0</v>
      </c>
      <c r="AB605" s="40">
        <f t="shared" si="434"/>
        <v>0</v>
      </c>
      <c r="AC605" s="40">
        <f t="shared" si="435"/>
        <v>0</v>
      </c>
      <c r="AD605" s="40">
        <f t="shared" si="436"/>
        <v>0</v>
      </c>
      <c r="AE605" s="40">
        <f t="shared" si="437"/>
        <v>0</v>
      </c>
      <c r="AF605" s="40">
        <f t="shared" si="438"/>
        <v>0</v>
      </c>
      <c r="AG605" s="40">
        <f t="shared" si="439"/>
        <v>0</v>
      </c>
      <c r="AH605" s="40">
        <f t="shared" si="440"/>
        <v>0</v>
      </c>
      <c r="AI605" s="11" t="s">
        <v>683</v>
      </c>
      <c r="AJ605" s="40">
        <f t="shared" si="441"/>
        <v>0</v>
      </c>
      <c r="AK605" s="40">
        <f t="shared" si="442"/>
        <v>0</v>
      </c>
      <c r="AL605" s="40">
        <f t="shared" si="443"/>
        <v>0</v>
      </c>
      <c r="AN605" s="40">
        <v>21</v>
      </c>
      <c r="AO605" s="40">
        <f t="shared" si="452"/>
        <v>0</v>
      </c>
      <c r="AP605" s="40">
        <f t="shared" si="453"/>
        <v>0</v>
      </c>
      <c r="AQ605" s="17" t="s">
        <v>1260</v>
      </c>
      <c r="AV605" s="40">
        <f t="shared" si="444"/>
        <v>0</v>
      </c>
      <c r="AW605" s="40">
        <f t="shared" si="445"/>
        <v>0</v>
      </c>
      <c r="AX605" s="40">
        <f t="shared" si="446"/>
        <v>0</v>
      </c>
      <c r="AY605" s="17" t="s">
        <v>1173</v>
      </c>
      <c r="AZ605" s="17" t="s">
        <v>1136</v>
      </c>
      <c r="BA605" s="11" t="s">
        <v>1364</v>
      </c>
      <c r="BC605" s="40">
        <f t="shared" si="447"/>
        <v>0</v>
      </c>
      <c r="BD605" s="40">
        <f t="shared" si="448"/>
        <v>0</v>
      </c>
      <c r="BE605" s="40">
        <v>0</v>
      </c>
      <c r="BF605" s="40">
        <f>605</f>
        <v>605</v>
      </c>
      <c r="BH605" s="40">
        <f t="shared" si="449"/>
        <v>0</v>
      </c>
      <c r="BI605" s="40">
        <f t="shared" si="450"/>
        <v>0</v>
      </c>
      <c r="BJ605" s="40">
        <f t="shared" si="451"/>
        <v>0</v>
      </c>
      <c r="BK605" s="40"/>
      <c r="BL605" s="40"/>
    </row>
    <row r="606" spans="1:64" ht="15" customHeight="1">
      <c r="A606" s="19" t="s">
        <v>902</v>
      </c>
      <c r="B606" s="59" t="s">
        <v>1425</v>
      </c>
      <c r="C606" s="76" t="s">
        <v>1196</v>
      </c>
      <c r="D606" s="76"/>
      <c r="E606" s="76"/>
      <c r="F606" s="76"/>
      <c r="G606" s="59" t="s">
        <v>312</v>
      </c>
      <c r="H606" s="40">
        <v>2</v>
      </c>
      <c r="I606" s="40">
        <v>0</v>
      </c>
      <c r="J606" s="40">
        <f t="shared" si="430"/>
        <v>0</v>
      </c>
      <c r="K606" s="40">
        <f t="shared" si="431"/>
        <v>0</v>
      </c>
      <c r="L606" s="40">
        <f t="shared" si="432"/>
        <v>0</v>
      </c>
      <c r="M606" s="69" t="s">
        <v>868</v>
      </c>
      <c r="Z606" s="40">
        <f t="shared" si="433"/>
        <v>0</v>
      </c>
      <c r="AB606" s="40">
        <f t="shared" si="434"/>
        <v>0</v>
      </c>
      <c r="AC606" s="40">
        <f t="shared" si="435"/>
        <v>0</v>
      </c>
      <c r="AD606" s="40">
        <f t="shared" si="436"/>
        <v>0</v>
      </c>
      <c r="AE606" s="40">
        <f t="shared" si="437"/>
        <v>0</v>
      </c>
      <c r="AF606" s="40">
        <f t="shared" si="438"/>
        <v>0</v>
      </c>
      <c r="AG606" s="40">
        <f t="shared" si="439"/>
        <v>0</v>
      </c>
      <c r="AH606" s="40">
        <f t="shared" si="440"/>
        <v>0</v>
      </c>
      <c r="AI606" s="11" t="s">
        <v>683</v>
      </c>
      <c r="AJ606" s="40">
        <f t="shared" si="441"/>
        <v>0</v>
      </c>
      <c r="AK606" s="40">
        <f t="shared" si="442"/>
        <v>0</v>
      </c>
      <c r="AL606" s="40">
        <f t="shared" si="443"/>
        <v>0</v>
      </c>
      <c r="AN606" s="40">
        <v>21</v>
      </c>
      <c r="AO606" s="40">
        <f t="shared" si="452"/>
        <v>0</v>
      </c>
      <c r="AP606" s="40">
        <f t="shared" si="453"/>
        <v>0</v>
      </c>
      <c r="AQ606" s="17" t="s">
        <v>1260</v>
      </c>
      <c r="AV606" s="40">
        <f t="shared" si="444"/>
        <v>0</v>
      </c>
      <c r="AW606" s="40">
        <f t="shared" si="445"/>
        <v>0</v>
      </c>
      <c r="AX606" s="40">
        <f t="shared" si="446"/>
        <v>0</v>
      </c>
      <c r="AY606" s="17" t="s">
        <v>1173</v>
      </c>
      <c r="AZ606" s="17" t="s">
        <v>1136</v>
      </c>
      <c r="BA606" s="11" t="s">
        <v>1364</v>
      </c>
      <c r="BC606" s="40">
        <f t="shared" si="447"/>
        <v>0</v>
      </c>
      <c r="BD606" s="40">
        <f t="shared" si="448"/>
        <v>0</v>
      </c>
      <c r="BE606" s="40">
        <v>0</v>
      </c>
      <c r="BF606" s="40">
        <f>606</f>
        <v>606</v>
      </c>
      <c r="BH606" s="40">
        <f t="shared" si="449"/>
        <v>0</v>
      </c>
      <c r="BI606" s="40">
        <f t="shared" si="450"/>
        <v>0</v>
      </c>
      <c r="BJ606" s="40">
        <f t="shared" si="451"/>
        <v>0</v>
      </c>
      <c r="BK606" s="40"/>
      <c r="BL606" s="40"/>
    </row>
    <row r="607" spans="1:64" ht="15" customHeight="1">
      <c r="A607" s="19" t="s">
        <v>128</v>
      </c>
      <c r="B607" s="59" t="s">
        <v>947</v>
      </c>
      <c r="C607" s="76" t="s">
        <v>203</v>
      </c>
      <c r="D607" s="76"/>
      <c r="E607" s="76"/>
      <c r="F607" s="76"/>
      <c r="G607" s="59" t="s">
        <v>312</v>
      </c>
      <c r="H607" s="40">
        <v>35</v>
      </c>
      <c r="I607" s="40">
        <v>0</v>
      </c>
      <c r="J607" s="40">
        <f t="shared" si="430"/>
        <v>0</v>
      </c>
      <c r="K607" s="40">
        <f t="shared" si="431"/>
        <v>0</v>
      </c>
      <c r="L607" s="40">
        <f t="shared" si="432"/>
        <v>0</v>
      </c>
      <c r="M607" s="69" t="s">
        <v>868</v>
      </c>
      <c r="Z607" s="40">
        <f t="shared" si="433"/>
        <v>0</v>
      </c>
      <c r="AB607" s="40">
        <f t="shared" si="434"/>
        <v>0</v>
      </c>
      <c r="AC607" s="40">
        <f t="shared" si="435"/>
        <v>0</v>
      </c>
      <c r="AD607" s="40">
        <f t="shared" si="436"/>
        <v>0</v>
      </c>
      <c r="AE607" s="40">
        <f t="shared" si="437"/>
        <v>0</v>
      </c>
      <c r="AF607" s="40">
        <f t="shared" si="438"/>
        <v>0</v>
      </c>
      <c r="AG607" s="40">
        <f t="shared" si="439"/>
        <v>0</v>
      </c>
      <c r="AH607" s="40">
        <f t="shared" si="440"/>
        <v>0</v>
      </c>
      <c r="AI607" s="11" t="s">
        <v>683</v>
      </c>
      <c r="AJ607" s="40">
        <f t="shared" si="441"/>
        <v>0</v>
      </c>
      <c r="AK607" s="40">
        <f t="shared" si="442"/>
        <v>0</v>
      </c>
      <c r="AL607" s="40">
        <f t="shared" si="443"/>
        <v>0</v>
      </c>
      <c r="AN607" s="40">
        <v>21</v>
      </c>
      <c r="AO607" s="40">
        <f t="shared" si="452"/>
        <v>0</v>
      </c>
      <c r="AP607" s="40">
        <f t="shared" si="453"/>
        <v>0</v>
      </c>
      <c r="AQ607" s="17" t="s">
        <v>1260</v>
      </c>
      <c r="AV607" s="40">
        <f t="shared" si="444"/>
        <v>0</v>
      </c>
      <c r="AW607" s="40">
        <f t="shared" si="445"/>
        <v>0</v>
      </c>
      <c r="AX607" s="40">
        <f t="shared" si="446"/>
        <v>0</v>
      </c>
      <c r="AY607" s="17" t="s">
        <v>1173</v>
      </c>
      <c r="AZ607" s="17" t="s">
        <v>1136</v>
      </c>
      <c r="BA607" s="11" t="s">
        <v>1364</v>
      </c>
      <c r="BC607" s="40">
        <f t="shared" si="447"/>
        <v>0</v>
      </c>
      <c r="BD607" s="40">
        <f t="shared" si="448"/>
        <v>0</v>
      </c>
      <c r="BE607" s="40">
        <v>0</v>
      </c>
      <c r="BF607" s="40">
        <f>607</f>
        <v>607</v>
      </c>
      <c r="BH607" s="40">
        <f t="shared" si="449"/>
        <v>0</v>
      </c>
      <c r="BI607" s="40">
        <f t="shared" si="450"/>
        <v>0</v>
      </c>
      <c r="BJ607" s="40">
        <f t="shared" si="451"/>
        <v>0</v>
      </c>
      <c r="BK607" s="40"/>
      <c r="BL607" s="40"/>
    </row>
    <row r="608" spans="1:64" ht="15" customHeight="1">
      <c r="A608" s="19" t="s">
        <v>1345</v>
      </c>
      <c r="B608" s="59" t="s">
        <v>618</v>
      </c>
      <c r="C608" s="76" t="s">
        <v>333</v>
      </c>
      <c r="D608" s="76"/>
      <c r="E608" s="76"/>
      <c r="F608" s="76"/>
      <c r="G608" s="59" t="s">
        <v>312</v>
      </c>
      <c r="H608" s="40">
        <v>17</v>
      </c>
      <c r="I608" s="40">
        <v>0</v>
      </c>
      <c r="J608" s="40">
        <f t="shared" si="430"/>
        <v>0</v>
      </c>
      <c r="K608" s="40">
        <f t="shared" si="431"/>
        <v>0</v>
      </c>
      <c r="L608" s="40">
        <f t="shared" si="432"/>
        <v>0</v>
      </c>
      <c r="M608" s="69" t="s">
        <v>868</v>
      </c>
      <c r="Z608" s="40">
        <f t="shared" si="433"/>
        <v>0</v>
      </c>
      <c r="AB608" s="40">
        <f t="shared" si="434"/>
        <v>0</v>
      </c>
      <c r="AC608" s="40">
        <f t="shared" si="435"/>
        <v>0</v>
      </c>
      <c r="AD608" s="40">
        <f t="shared" si="436"/>
        <v>0</v>
      </c>
      <c r="AE608" s="40">
        <f t="shared" si="437"/>
        <v>0</v>
      </c>
      <c r="AF608" s="40">
        <f t="shared" si="438"/>
        <v>0</v>
      </c>
      <c r="AG608" s="40">
        <f t="shared" si="439"/>
        <v>0</v>
      </c>
      <c r="AH608" s="40">
        <f t="shared" si="440"/>
        <v>0</v>
      </c>
      <c r="AI608" s="11" t="s">
        <v>683</v>
      </c>
      <c r="AJ608" s="40">
        <f t="shared" si="441"/>
        <v>0</v>
      </c>
      <c r="AK608" s="40">
        <f t="shared" si="442"/>
        <v>0</v>
      </c>
      <c r="AL608" s="40">
        <f t="shared" si="443"/>
        <v>0</v>
      </c>
      <c r="AN608" s="40">
        <v>21</v>
      </c>
      <c r="AO608" s="40">
        <f t="shared" si="452"/>
        <v>0</v>
      </c>
      <c r="AP608" s="40">
        <f t="shared" si="453"/>
        <v>0</v>
      </c>
      <c r="AQ608" s="17" t="s">
        <v>1260</v>
      </c>
      <c r="AV608" s="40">
        <f t="shared" si="444"/>
        <v>0</v>
      </c>
      <c r="AW608" s="40">
        <f t="shared" si="445"/>
        <v>0</v>
      </c>
      <c r="AX608" s="40">
        <f t="shared" si="446"/>
        <v>0</v>
      </c>
      <c r="AY608" s="17" t="s">
        <v>1173</v>
      </c>
      <c r="AZ608" s="17" t="s">
        <v>1136</v>
      </c>
      <c r="BA608" s="11" t="s">
        <v>1364</v>
      </c>
      <c r="BC608" s="40">
        <f t="shared" si="447"/>
        <v>0</v>
      </c>
      <c r="BD608" s="40">
        <f t="shared" si="448"/>
        <v>0</v>
      </c>
      <c r="BE608" s="40">
        <v>0</v>
      </c>
      <c r="BF608" s="40">
        <f>608</f>
        <v>608</v>
      </c>
      <c r="BH608" s="40">
        <f t="shared" si="449"/>
        <v>0</v>
      </c>
      <c r="BI608" s="40">
        <f t="shared" si="450"/>
        <v>0</v>
      </c>
      <c r="BJ608" s="40">
        <f t="shared" si="451"/>
        <v>0</v>
      </c>
      <c r="BK608" s="40"/>
      <c r="BL608" s="40"/>
    </row>
    <row r="609" spans="1:64" ht="15" customHeight="1">
      <c r="A609" s="56" t="s">
        <v>85</v>
      </c>
      <c r="B609" s="37" t="s">
        <v>778</v>
      </c>
      <c r="C609" s="96" t="s">
        <v>337</v>
      </c>
      <c r="D609" s="96"/>
      <c r="E609" s="96"/>
      <c r="F609" s="96"/>
      <c r="G609" s="37" t="s">
        <v>312</v>
      </c>
      <c r="H609" s="51">
        <v>18</v>
      </c>
      <c r="I609" s="51">
        <v>0</v>
      </c>
      <c r="J609" s="51">
        <f t="shared" si="430"/>
        <v>0</v>
      </c>
      <c r="K609" s="51">
        <f t="shared" si="431"/>
        <v>0</v>
      </c>
      <c r="L609" s="51">
        <f t="shared" si="432"/>
        <v>0</v>
      </c>
      <c r="M609" s="28" t="s">
        <v>868</v>
      </c>
      <c r="Z609" s="40">
        <f t="shared" si="433"/>
        <v>0</v>
      </c>
      <c r="AB609" s="40">
        <f t="shared" si="434"/>
        <v>0</v>
      </c>
      <c r="AC609" s="40">
        <f t="shared" si="435"/>
        <v>0</v>
      </c>
      <c r="AD609" s="40">
        <f t="shared" si="436"/>
        <v>0</v>
      </c>
      <c r="AE609" s="40">
        <f t="shared" si="437"/>
        <v>0</v>
      </c>
      <c r="AF609" s="40">
        <f t="shared" si="438"/>
        <v>0</v>
      </c>
      <c r="AG609" s="40">
        <f t="shared" si="439"/>
        <v>0</v>
      </c>
      <c r="AH609" s="40">
        <f t="shared" si="440"/>
        <v>0</v>
      </c>
      <c r="AI609" s="11" t="s">
        <v>683</v>
      </c>
      <c r="AJ609" s="40">
        <f t="shared" si="441"/>
        <v>0</v>
      </c>
      <c r="AK609" s="40">
        <f t="shared" si="442"/>
        <v>0</v>
      </c>
      <c r="AL609" s="40">
        <f t="shared" si="443"/>
        <v>0</v>
      </c>
      <c r="AN609" s="40">
        <v>21</v>
      </c>
      <c r="AO609" s="40">
        <f t="shared" si="452"/>
        <v>0</v>
      </c>
      <c r="AP609" s="40">
        <f t="shared" si="453"/>
        <v>0</v>
      </c>
      <c r="AQ609" s="17" t="s">
        <v>1260</v>
      </c>
      <c r="AV609" s="40">
        <f t="shared" si="444"/>
        <v>0</v>
      </c>
      <c r="AW609" s="40">
        <f t="shared" si="445"/>
        <v>0</v>
      </c>
      <c r="AX609" s="40">
        <f t="shared" si="446"/>
        <v>0</v>
      </c>
      <c r="AY609" s="17" t="s">
        <v>1173</v>
      </c>
      <c r="AZ609" s="17" t="s">
        <v>1136</v>
      </c>
      <c r="BA609" s="11" t="s">
        <v>1364</v>
      </c>
      <c r="BC609" s="40">
        <f t="shared" si="447"/>
        <v>0</v>
      </c>
      <c r="BD609" s="40">
        <f t="shared" si="448"/>
        <v>0</v>
      </c>
      <c r="BE609" s="40">
        <v>0</v>
      </c>
      <c r="BF609" s="40">
        <f>609</f>
        <v>609</v>
      </c>
      <c r="BH609" s="40">
        <f t="shared" si="449"/>
        <v>0</v>
      </c>
      <c r="BI609" s="40">
        <f t="shared" si="450"/>
        <v>0</v>
      </c>
      <c r="BJ609" s="40">
        <f t="shared" si="451"/>
        <v>0</v>
      </c>
      <c r="BK609" s="40"/>
      <c r="BL609" s="40"/>
    </row>
    <row r="610" spans="10:12" ht="15" customHeight="1">
      <c r="J610" s="82" t="s">
        <v>1010</v>
      </c>
      <c r="K610" s="82"/>
      <c r="L610" s="45">
        <f>L13+L16+L18+L22+L25+L32+L36+L44+L58+L60+L62+L67+L70+L72+L74+L77+L79+L82+L87+L90+L93+L103+L105+L110+L113+L118+L121+L124+L127+L129+L132+L139+L141+L151+L187+L189+L192+L195+L205+L222+L226+L229+L232+L235+L238+L240+L243+L247+L252+L273+L302+L305+L307+L316+L329+L332+L335+L338+L341+L343+L345+L351+L355+L359+L372+L374+L377+L380+L383+L386+L389+L392+L394+L397+L399+L408+L415+L435+L437+L445+L447+L449+L452+L455+L458+L460+L462+L468+L475+L477+L479+L515+L518+L520+L523+L525+L528+L532+L537+L542+L547+L557+L561+L565+L571+L575+L577+L580+L582+L586+L590+L592+L595+L598</f>
        <v>0</v>
      </c>
    </row>
    <row r="611" ht="15" customHeight="1">
      <c r="A611" s="5" t="s">
        <v>114</v>
      </c>
    </row>
    <row r="612" spans="1:13" ht="12.75" customHeight="1">
      <c r="A612" s="79" t="s">
        <v>878</v>
      </c>
      <c r="B612" s="76"/>
      <c r="C612" s="76"/>
      <c r="D612" s="76"/>
      <c r="E612" s="76"/>
      <c r="F612" s="76"/>
      <c r="G612" s="76"/>
      <c r="H612" s="76"/>
      <c r="I612" s="76"/>
      <c r="J612" s="76"/>
      <c r="K612" s="76"/>
      <c r="L612" s="76"/>
      <c r="M612" s="76"/>
    </row>
  </sheetData>
  <sheetProtection/>
  <mergeCells count="628">
    <mergeCell ref="J610:K610"/>
    <mergeCell ref="A612:M612"/>
    <mergeCell ref="C604:F604"/>
    <mergeCell ref="C605:F605"/>
    <mergeCell ref="C606:F606"/>
    <mergeCell ref="C607:F607"/>
    <mergeCell ref="C608:F608"/>
    <mergeCell ref="C609:F609"/>
    <mergeCell ref="C598:F598"/>
    <mergeCell ref="C599:F599"/>
    <mergeCell ref="C600:F600"/>
    <mergeCell ref="C601:F601"/>
    <mergeCell ref="C602:F602"/>
    <mergeCell ref="C603:F603"/>
    <mergeCell ref="C592:F592"/>
    <mergeCell ref="C593:F593"/>
    <mergeCell ref="C594:F594"/>
    <mergeCell ref="C595:F595"/>
    <mergeCell ref="C596:F596"/>
    <mergeCell ref="C597:F597"/>
    <mergeCell ref="C586:F586"/>
    <mergeCell ref="C587:F587"/>
    <mergeCell ref="C588:F588"/>
    <mergeCell ref="C589:F589"/>
    <mergeCell ref="C590:F590"/>
    <mergeCell ref="C591:F591"/>
    <mergeCell ref="C580:F580"/>
    <mergeCell ref="C581:F581"/>
    <mergeCell ref="C582:F582"/>
    <mergeCell ref="C583:F583"/>
    <mergeCell ref="C584:M584"/>
    <mergeCell ref="C585:F585"/>
    <mergeCell ref="C574:F574"/>
    <mergeCell ref="C575:F575"/>
    <mergeCell ref="C576:F576"/>
    <mergeCell ref="C577:F577"/>
    <mergeCell ref="C578:F578"/>
    <mergeCell ref="C579:F579"/>
    <mergeCell ref="C568:F568"/>
    <mergeCell ref="C569:F569"/>
    <mergeCell ref="C570:F570"/>
    <mergeCell ref="C571:F571"/>
    <mergeCell ref="C572:F572"/>
    <mergeCell ref="C573:F573"/>
    <mergeCell ref="C562:F562"/>
    <mergeCell ref="C563:F563"/>
    <mergeCell ref="C564:F564"/>
    <mergeCell ref="C565:F565"/>
    <mergeCell ref="C566:F566"/>
    <mergeCell ref="C567:F567"/>
    <mergeCell ref="C556:F556"/>
    <mergeCell ref="C557:F557"/>
    <mergeCell ref="C558:F558"/>
    <mergeCell ref="C559:F559"/>
    <mergeCell ref="C560:F560"/>
    <mergeCell ref="C561:F561"/>
    <mergeCell ref="C550:F550"/>
    <mergeCell ref="C551:F551"/>
    <mergeCell ref="C552:F552"/>
    <mergeCell ref="C553:F553"/>
    <mergeCell ref="C554:F554"/>
    <mergeCell ref="C555:F555"/>
    <mergeCell ref="C544:F544"/>
    <mergeCell ref="C545:F545"/>
    <mergeCell ref="C546:M546"/>
    <mergeCell ref="C547:F547"/>
    <mergeCell ref="C548:F548"/>
    <mergeCell ref="C549:F549"/>
    <mergeCell ref="C538:F538"/>
    <mergeCell ref="C539:F539"/>
    <mergeCell ref="C540:F540"/>
    <mergeCell ref="C541:F541"/>
    <mergeCell ref="C542:F542"/>
    <mergeCell ref="C543:F543"/>
    <mergeCell ref="C532:F532"/>
    <mergeCell ref="C533:F533"/>
    <mergeCell ref="C534:F534"/>
    <mergeCell ref="C535:F535"/>
    <mergeCell ref="C536:F536"/>
    <mergeCell ref="C537:F537"/>
    <mergeCell ref="C526:F526"/>
    <mergeCell ref="C527:F527"/>
    <mergeCell ref="C528:F528"/>
    <mergeCell ref="C529:F529"/>
    <mergeCell ref="C530:M530"/>
    <mergeCell ref="C531:F531"/>
    <mergeCell ref="C520:F520"/>
    <mergeCell ref="C521:F521"/>
    <mergeCell ref="C522:M522"/>
    <mergeCell ref="C523:F523"/>
    <mergeCell ref="C524:F524"/>
    <mergeCell ref="C525:F525"/>
    <mergeCell ref="C514:M514"/>
    <mergeCell ref="C515:F515"/>
    <mergeCell ref="C516:F516"/>
    <mergeCell ref="C517:F517"/>
    <mergeCell ref="C518:F518"/>
    <mergeCell ref="C519:F519"/>
    <mergeCell ref="C508:M508"/>
    <mergeCell ref="C509:F509"/>
    <mergeCell ref="C510:M510"/>
    <mergeCell ref="C511:F511"/>
    <mergeCell ref="C512:F512"/>
    <mergeCell ref="C513:F513"/>
    <mergeCell ref="C502:F502"/>
    <mergeCell ref="C503:F503"/>
    <mergeCell ref="C504:M504"/>
    <mergeCell ref="C505:F505"/>
    <mergeCell ref="C506:M506"/>
    <mergeCell ref="C507:F507"/>
    <mergeCell ref="C496:F496"/>
    <mergeCell ref="C497:F497"/>
    <mergeCell ref="C498:F498"/>
    <mergeCell ref="C499:F499"/>
    <mergeCell ref="C500:F500"/>
    <mergeCell ref="C501:F501"/>
    <mergeCell ref="C490:F490"/>
    <mergeCell ref="C491:F491"/>
    <mergeCell ref="C492:F492"/>
    <mergeCell ref="C493:F493"/>
    <mergeCell ref="C494:F494"/>
    <mergeCell ref="C495:M495"/>
    <mergeCell ref="C484:F484"/>
    <mergeCell ref="C485:F485"/>
    <mergeCell ref="C486:F486"/>
    <mergeCell ref="C487:F487"/>
    <mergeCell ref="C488:M488"/>
    <mergeCell ref="C489:F489"/>
    <mergeCell ref="C478:F478"/>
    <mergeCell ref="C479:F479"/>
    <mergeCell ref="C480:F480"/>
    <mergeCell ref="C481:F481"/>
    <mergeCell ref="C482:F482"/>
    <mergeCell ref="C483:F483"/>
    <mergeCell ref="C472:F472"/>
    <mergeCell ref="C473:F473"/>
    <mergeCell ref="C474:F474"/>
    <mergeCell ref="C475:F475"/>
    <mergeCell ref="C476:F476"/>
    <mergeCell ref="C477:F477"/>
    <mergeCell ref="C466:F466"/>
    <mergeCell ref="C467:F467"/>
    <mergeCell ref="C468:F468"/>
    <mergeCell ref="C469:F469"/>
    <mergeCell ref="C470:F470"/>
    <mergeCell ref="C471:F471"/>
    <mergeCell ref="C460:F460"/>
    <mergeCell ref="C461:F461"/>
    <mergeCell ref="C462:F462"/>
    <mergeCell ref="C463:F463"/>
    <mergeCell ref="C464:F464"/>
    <mergeCell ref="C465:F465"/>
    <mergeCell ref="C454:F454"/>
    <mergeCell ref="C455:F455"/>
    <mergeCell ref="C456:F456"/>
    <mergeCell ref="C457:F457"/>
    <mergeCell ref="C458:F458"/>
    <mergeCell ref="C459:F459"/>
    <mergeCell ref="C448:F448"/>
    <mergeCell ref="C449:F449"/>
    <mergeCell ref="C450:F450"/>
    <mergeCell ref="C451:F451"/>
    <mergeCell ref="C452:F452"/>
    <mergeCell ref="C453:F453"/>
    <mergeCell ref="C442:F442"/>
    <mergeCell ref="C443:F443"/>
    <mergeCell ref="C444:F444"/>
    <mergeCell ref="C445:F445"/>
    <mergeCell ref="C446:F446"/>
    <mergeCell ref="C447:F447"/>
    <mergeCell ref="C436:F436"/>
    <mergeCell ref="C437:F437"/>
    <mergeCell ref="C438:F438"/>
    <mergeCell ref="C439:F439"/>
    <mergeCell ref="C440:F440"/>
    <mergeCell ref="C441:F441"/>
    <mergeCell ref="C430:F430"/>
    <mergeCell ref="C431:F431"/>
    <mergeCell ref="C432:F432"/>
    <mergeCell ref="C433:F433"/>
    <mergeCell ref="C434:F434"/>
    <mergeCell ref="C435:F435"/>
    <mergeCell ref="C424:F424"/>
    <mergeCell ref="C425:F425"/>
    <mergeCell ref="C426:F426"/>
    <mergeCell ref="C427:F427"/>
    <mergeCell ref="C428:F428"/>
    <mergeCell ref="C429:F429"/>
    <mergeCell ref="C418:F418"/>
    <mergeCell ref="C419:F419"/>
    <mergeCell ref="C420:F420"/>
    <mergeCell ref="C421:F421"/>
    <mergeCell ref="C422:F422"/>
    <mergeCell ref="C423:F423"/>
    <mergeCell ref="C412:F412"/>
    <mergeCell ref="C413:F413"/>
    <mergeCell ref="C414:F414"/>
    <mergeCell ref="C415:F415"/>
    <mergeCell ref="C416:F416"/>
    <mergeCell ref="C417:F417"/>
    <mergeCell ref="C406:F406"/>
    <mergeCell ref="C407:F407"/>
    <mergeCell ref="C408:F408"/>
    <mergeCell ref="C409:F409"/>
    <mergeCell ref="C410:F410"/>
    <mergeCell ref="C411:F411"/>
    <mergeCell ref="C400:F400"/>
    <mergeCell ref="C401:F401"/>
    <mergeCell ref="C402:F402"/>
    <mergeCell ref="C403:F403"/>
    <mergeCell ref="C404:F404"/>
    <mergeCell ref="C405:F405"/>
    <mergeCell ref="C394:F394"/>
    <mergeCell ref="C395:F395"/>
    <mergeCell ref="C396:F396"/>
    <mergeCell ref="C397:F397"/>
    <mergeCell ref="C398:F398"/>
    <mergeCell ref="C399:F399"/>
    <mergeCell ref="C388:F388"/>
    <mergeCell ref="C389:F389"/>
    <mergeCell ref="C390:F390"/>
    <mergeCell ref="C391:F391"/>
    <mergeCell ref="C392:F392"/>
    <mergeCell ref="C393:F393"/>
    <mergeCell ref="C382:F382"/>
    <mergeCell ref="C383:F383"/>
    <mergeCell ref="C384:F384"/>
    <mergeCell ref="C385:F385"/>
    <mergeCell ref="C386:F386"/>
    <mergeCell ref="C387:F387"/>
    <mergeCell ref="C376:F376"/>
    <mergeCell ref="C377:F377"/>
    <mergeCell ref="C378:F378"/>
    <mergeCell ref="C379:F379"/>
    <mergeCell ref="C380:F380"/>
    <mergeCell ref="C381:F381"/>
    <mergeCell ref="C370:F370"/>
    <mergeCell ref="C371:F371"/>
    <mergeCell ref="C372:F372"/>
    <mergeCell ref="C373:F373"/>
    <mergeCell ref="C374:F374"/>
    <mergeCell ref="C375:F375"/>
    <mergeCell ref="C364:F364"/>
    <mergeCell ref="C365:F365"/>
    <mergeCell ref="C366:F366"/>
    <mergeCell ref="C367:F367"/>
    <mergeCell ref="C368:F368"/>
    <mergeCell ref="C369:F369"/>
    <mergeCell ref="C358:F358"/>
    <mergeCell ref="C359:F359"/>
    <mergeCell ref="C360:F360"/>
    <mergeCell ref="C361:F361"/>
    <mergeCell ref="C362:F362"/>
    <mergeCell ref="C363:F363"/>
    <mergeCell ref="C352:F352"/>
    <mergeCell ref="C353:F353"/>
    <mergeCell ref="C354:F354"/>
    <mergeCell ref="C355:F355"/>
    <mergeCell ref="C356:F356"/>
    <mergeCell ref="C357:F357"/>
    <mergeCell ref="C346:F346"/>
    <mergeCell ref="C347:F347"/>
    <mergeCell ref="C348:F348"/>
    <mergeCell ref="C349:F349"/>
    <mergeCell ref="C350:F350"/>
    <mergeCell ref="C351:F351"/>
    <mergeCell ref="C340:F340"/>
    <mergeCell ref="C341:F341"/>
    <mergeCell ref="C342:F342"/>
    <mergeCell ref="C343:F343"/>
    <mergeCell ref="C344:F344"/>
    <mergeCell ref="C345:F345"/>
    <mergeCell ref="C334:F334"/>
    <mergeCell ref="C335:F335"/>
    <mergeCell ref="C336:F336"/>
    <mergeCell ref="C337:F337"/>
    <mergeCell ref="C338:F338"/>
    <mergeCell ref="C339:F339"/>
    <mergeCell ref="C328:F328"/>
    <mergeCell ref="C329:F329"/>
    <mergeCell ref="C330:F330"/>
    <mergeCell ref="C331:F331"/>
    <mergeCell ref="C332:F332"/>
    <mergeCell ref="C333:F333"/>
    <mergeCell ref="C322:F322"/>
    <mergeCell ref="C323:F323"/>
    <mergeCell ref="C324:F324"/>
    <mergeCell ref="C325:F325"/>
    <mergeCell ref="C326:F326"/>
    <mergeCell ref="C327:F327"/>
    <mergeCell ref="C316:F316"/>
    <mergeCell ref="C317:F317"/>
    <mergeCell ref="C318:F318"/>
    <mergeCell ref="C319:F319"/>
    <mergeCell ref="C320:F320"/>
    <mergeCell ref="C321:F321"/>
    <mergeCell ref="C310:F310"/>
    <mergeCell ref="C311:F311"/>
    <mergeCell ref="C312:F312"/>
    <mergeCell ref="C313:F313"/>
    <mergeCell ref="C314:F314"/>
    <mergeCell ref="C315:F315"/>
    <mergeCell ref="C304:F304"/>
    <mergeCell ref="C305:F305"/>
    <mergeCell ref="C306:F306"/>
    <mergeCell ref="C307:F307"/>
    <mergeCell ref="C308:F308"/>
    <mergeCell ref="C309:F309"/>
    <mergeCell ref="C298:F298"/>
    <mergeCell ref="C299:F299"/>
    <mergeCell ref="C300:F300"/>
    <mergeCell ref="C301:F301"/>
    <mergeCell ref="C302:F302"/>
    <mergeCell ref="C303:F303"/>
    <mergeCell ref="C292:F292"/>
    <mergeCell ref="C293:F293"/>
    <mergeCell ref="C294:F294"/>
    <mergeCell ref="C295:F295"/>
    <mergeCell ref="C296:F296"/>
    <mergeCell ref="C297:F297"/>
    <mergeCell ref="C286:F286"/>
    <mergeCell ref="C287:F287"/>
    <mergeCell ref="C288:F288"/>
    <mergeCell ref="C289:F289"/>
    <mergeCell ref="C290:F290"/>
    <mergeCell ref="C291:F291"/>
    <mergeCell ref="C280:F280"/>
    <mergeCell ref="C281:F281"/>
    <mergeCell ref="C282:F282"/>
    <mergeCell ref="C283:F283"/>
    <mergeCell ref="C284:F284"/>
    <mergeCell ref="C285:F285"/>
    <mergeCell ref="C274:F274"/>
    <mergeCell ref="C275:F275"/>
    <mergeCell ref="C276:F276"/>
    <mergeCell ref="C277:F277"/>
    <mergeCell ref="C278:F278"/>
    <mergeCell ref="C279:F279"/>
    <mergeCell ref="C268:F268"/>
    <mergeCell ref="C269:F269"/>
    <mergeCell ref="C270:F270"/>
    <mergeCell ref="C271:F271"/>
    <mergeCell ref="C272:F272"/>
    <mergeCell ref="C273:F273"/>
    <mergeCell ref="C262:F262"/>
    <mergeCell ref="C263:F263"/>
    <mergeCell ref="C264:F264"/>
    <mergeCell ref="C265:F265"/>
    <mergeCell ref="C266:F266"/>
    <mergeCell ref="C267:F267"/>
    <mergeCell ref="C256:F256"/>
    <mergeCell ref="C257:F257"/>
    <mergeCell ref="C258:F258"/>
    <mergeCell ref="C259:F259"/>
    <mergeCell ref="C260:F260"/>
    <mergeCell ref="C261:F261"/>
    <mergeCell ref="C250:F250"/>
    <mergeCell ref="C251:F251"/>
    <mergeCell ref="C252:F252"/>
    <mergeCell ref="C253:F253"/>
    <mergeCell ref="C254:F254"/>
    <mergeCell ref="C255:F255"/>
    <mergeCell ref="C244:F244"/>
    <mergeCell ref="C245:F245"/>
    <mergeCell ref="C246:F246"/>
    <mergeCell ref="C247:F247"/>
    <mergeCell ref="C248:F248"/>
    <mergeCell ref="C249:F249"/>
    <mergeCell ref="C238:F238"/>
    <mergeCell ref="C239:F239"/>
    <mergeCell ref="C240:F240"/>
    <mergeCell ref="C241:F241"/>
    <mergeCell ref="C242:F242"/>
    <mergeCell ref="C243:F243"/>
    <mergeCell ref="C232:F232"/>
    <mergeCell ref="C233:F233"/>
    <mergeCell ref="C234:F234"/>
    <mergeCell ref="C235:F235"/>
    <mergeCell ref="C236:F236"/>
    <mergeCell ref="C237:F237"/>
    <mergeCell ref="C226:F226"/>
    <mergeCell ref="C227:F227"/>
    <mergeCell ref="C228:F228"/>
    <mergeCell ref="C229:F229"/>
    <mergeCell ref="C230:F230"/>
    <mergeCell ref="C231:F231"/>
    <mergeCell ref="C220:F220"/>
    <mergeCell ref="C221:F221"/>
    <mergeCell ref="C222:F222"/>
    <mergeCell ref="C223:F223"/>
    <mergeCell ref="C224:F224"/>
    <mergeCell ref="C225:F225"/>
    <mergeCell ref="C214:F214"/>
    <mergeCell ref="C215:F215"/>
    <mergeCell ref="C216:F216"/>
    <mergeCell ref="C217:F217"/>
    <mergeCell ref="C218:F218"/>
    <mergeCell ref="C219:F219"/>
    <mergeCell ref="C208:F208"/>
    <mergeCell ref="C209:F209"/>
    <mergeCell ref="C210:F210"/>
    <mergeCell ref="C211:F211"/>
    <mergeCell ref="C212:F212"/>
    <mergeCell ref="C213:F213"/>
    <mergeCell ref="C202:F202"/>
    <mergeCell ref="C203:F203"/>
    <mergeCell ref="C204:F204"/>
    <mergeCell ref="C205:F205"/>
    <mergeCell ref="C206:F206"/>
    <mergeCell ref="C207:F207"/>
    <mergeCell ref="C196:F196"/>
    <mergeCell ref="C197:F197"/>
    <mergeCell ref="C198:F198"/>
    <mergeCell ref="C199:F199"/>
    <mergeCell ref="C200:F200"/>
    <mergeCell ref="C201:F201"/>
    <mergeCell ref="C190:F190"/>
    <mergeCell ref="C191:F191"/>
    <mergeCell ref="C192:F192"/>
    <mergeCell ref="C193:F193"/>
    <mergeCell ref="C194:F194"/>
    <mergeCell ref="C195:F195"/>
    <mergeCell ref="C184:F184"/>
    <mergeCell ref="C185:F185"/>
    <mergeCell ref="C186:F186"/>
    <mergeCell ref="C187:F187"/>
    <mergeCell ref="C188:F188"/>
    <mergeCell ref="C189:F189"/>
    <mergeCell ref="C178:F178"/>
    <mergeCell ref="C179:F179"/>
    <mergeCell ref="C180:F180"/>
    <mergeCell ref="C181:F181"/>
    <mergeCell ref="C182:F182"/>
    <mergeCell ref="C183:F183"/>
    <mergeCell ref="C172:F172"/>
    <mergeCell ref="C173:F173"/>
    <mergeCell ref="C174:F174"/>
    <mergeCell ref="C175:F175"/>
    <mergeCell ref="C176:F176"/>
    <mergeCell ref="C177:F177"/>
    <mergeCell ref="C166:F166"/>
    <mergeCell ref="C167:F167"/>
    <mergeCell ref="C168:F168"/>
    <mergeCell ref="C169:F169"/>
    <mergeCell ref="C170:F170"/>
    <mergeCell ref="C171:F171"/>
    <mergeCell ref="C160:F160"/>
    <mergeCell ref="C161:F161"/>
    <mergeCell ref="C162:F162"/>
    <mergeCell ref="C163:F163"/>
    <mergeCell ref="C164:F164"/>
    <mergeCell ref="C165:F165"/>
    <mergeCell ref="C154:F154"/>
    <mergeCell ref="C155:F155"/>
    <mergeCell ref="C156:F156"/>
    <mergeCell ref="C157:F157"/>
    <mergeCell ref="C158:F158"/>
    <mergeCell ref="C159:F159"/>
    <mergeCell ref="C148:F148"/>
    <mergeCell ref="C149:F149"/>
    <mergeCell ref="C150:F150"/>
    <mergeCell ref="C151:F151"/>
    <mergeCell ref="C152:F152"/>
    <mergeCell ref="C153:F153"/>
    <mergeCell ref="C142:F142"/>
    <mergeCell ref="C143:F143"/>
    <mergeCell ref="C144:F144"/>
    <mergeCell ref="C145:F145"/>
    <mergeCell ref="C146:F146"/>
    <mergeCell ref="C147:F147"/>
    <mergeCell ref="C136:F136"/>
    <mergeCell ref="C137:F137"/>
    <mergeCell ref="C138:F138"/>
    <mergeCell ref="C139:F139"/>
    <mergeCell ref="C140:F140"/>
    <mergeCell ref="C141:F141"/>
    <mergeCell ref="C130:F130"/>
    <mergeCell ref="C131:F131"/>
    <mergeCell ref="C132:F132"/>
    <mergeCell ref="C133:F133"/>
    <mergeCell ref="C134:F134"/>
    <mergeCell ref="C135:F135"/>
    <mergeCell ref="C124:F124"/>
    <mergeCell ref="C125:F125"/>
    <mergeCell ref="C126:F126"/>
    <mergeCell ref="C127:F127"/>
    <mergeCell ref="C128:F128"/>
    <mergeCell ref="C129:F129"/>
    <mergeCell ref="C118:F118"/>
    <mergeCell ref="C119:F119"/>
    <mergeCell ref="C120:F120"/>
    <mergeCell ref="C121:F121"/>
    <mergeCell ref="C122:F122"/>
    <mergeCell ref="C123:F123"/>
    <mergeCell ref="C112:F112"/>
    <mergeCell ref="C113:F113"/>
    <mergeCell ref="C114:F114"/>
    <mergeCell ref="C115:F115"/>
    <mergeCell ref="C116:F116"/>
    <mergeCell ref="C117:F117"/>
    <mergeCell ref="C106:F106"/>
    <mergeCell ref="C107:F107"/>
    <mergeCell ref="C108:F108"/>
    <mergeCell ref="C109:F109"/>
    <mergeCell ref="C110:F110"/>
    <mergeCell ref="C111:F111"/>
    <mergeCell ref="C100:F100"/>
    <mergeCell ref="C101:F101"/>
    <mergeCell ref="C102:F102"/>
    <mergeCell ref="C103:F103"/>
    <mergeCell ref="C104:F104"/>
    <mergeCell ref="C105:F105"/>
    <mergeCell ref="C94:F94"/>
    <mergeCell ref="C95:F95"/>
    <mergeCell ref="C96:F96"/>
    <mergeCell ref="C97:F97"/>
    <mergeCell ref="C98:F98"/>
    <mergeCell ref="C99:F99"/>
    <mergeCell ref="C88:F88"/>
    <mergeCell ref="C89:F89"/>
    <mergeCell ref="C90:F90"/>
    <mergeCell ref="C91:F91"/>
    <mergeCell ref="C92:F92"/>
    <mergeCell ref="C93:F93"/>
    <mergeCell ref="C82:F82"/>
    <mergeCell ref="C83:F83"/>
    <mergeCell ref="C84:F84"/>
    <mergeCell ref="C85:F85"/>
    <mergeCell ref="C86:F86"/>
    <mergeCell ref="C87:F87"/>
    <mergeCell ref="C76:F76"/>
    <mergeCell ref="C77:F77"/>
    <mergeCell ref="C78:F78"/>
    <mergeCell ref="C79:F79"/>
    <mergeCell ref="C80:F80"/>
    <mergeCell ref="C81:F81"/>
    <mergeCell ref="C70:F70"/>
    <mergeCell ref="C71:F71"/>
    <mergeCell ref="C72:F72"/>
    <mergeCell ref="C73:F73"/>
    <mergeCell ref="C74:F74"/>
    <mergeCell ref="C75:F75"/>
    <mergeCell ref="C64:F64"/>
    <mergeCell ref="C65:F65"/>
    <mergeCell ref="C66:M66"/>
    <mergeCell ref="C67:F67"/>
    <mergeCell ref="C68:F68"/>
    <mergeCell ref="C69:F69"/>
    <mergeCell ref="C58:F58"/>
    <mergeCell ref="C59:F59"/>
    <mergeCell ref="C60:F60"/>
    <mergeCell ref="C61:F61"/>
    <mergeCell ref="C62:F62"/>
    <mergeCell ref="C63:F63"/>
    <mergeCell ref="C52:F52"/>
    <mergeCell ref="C53:M53"/>
    <mergeCell ref="C54:F54"/>
    <mergeCell ref="C55:M55"/>
    <mergeCell ref="C56:M56"/>
    <mergeCell ref="C57:F57"/>
    <mergeCell ref="C46:M46"/>
    <mergeCell ref="C47:M47"/>
    <mergeCell ref="C48:F48"/>
    <mergeCell ref="C49:M49"/>
    <mergeCell ref="C50:F50"/>
    <mergeCell ref="C51:M51"/>
    <mergeCell ref="C40:M40"/>
    <mergeCell ref="C41:F41"/>
    <mergeCell ref="C42:F42"/>
    <mergeCell ref="C43:F43"/>
    <mergeCell ref="C44:F44"/>
    <mergeCell ref="C45:F45"/>
    <mergeCell ref="C34:F34"/>
    <mergeCell ref="C35:F35"/>
    <mergeCell ref="C36:F36"/>
    <mergeCell ref="C37:F37"/>
    <mergeCell ref="C38:F38"/>
    <mergeCell ref="C39:F39"/>
    <mergeCell ref="C28:F28"/>
    <mergeCell ref="C29:M29"/>
    <mergeCell ref="C30:F30"/>
    <mergeCell ref="C31:F31"/>
    <mergeCell ref="C32:F32"/>
    <mergeCell ref="C33:F33"/>
    <mergeCell ref="C22:F22"/>
    <mergeCell ref="C23:F23"/>
    <mergeCell ref="C24:F24"/>
    <mergeCell ref="C25:F25"/>
    <mergeCell ref="C26:F26"/>
    <mergeCell ref="C27:F27"/>
    <mergeCell ref="C16:F16"/>
    <mergeCell ref="C17:F17"/>
    <mergeCell ref="C18:F18"/>
    <mergeCell ref="C19:F19"/>
    <mergeCell ref="C20:M20"/>
    <mergeCell ref="C21:F21"/>
    <mergeCell ref="C11:F11"/>
    <mergeCell ref="J10:L10"/>
    <mergeCell ref="C12:F12"/>
    <mergeCell ref="C13:F13"/>
    <mergeCell ref="C14:F14"/>
    <mergeCell ref="C15:M15"/>
    <mergeCell ref="G8:H9"/>
    <mergeCell ref="J2:M3"/>
    <mergeCell ref="J4:M5"/>
    <mergeCell ref="J6:M7"/>
    <mergeCell ref="J8:M9"/>
    <mergeCell ref="C10:F10"/>
    <mergeCell ref="I4:I5"/>
    <mergeCell ref="I6:I7"/>
    <mergeCell ref="I8:I9"/>
    <mergeCell ref="C2:D3"/>
    <mergeCell ref="C4:D5"/>
    <mergeCell ref="C6:D7"/>
    <mergeCell ref="C8:D9"/>
    <mergeCell ref="G2:H3"/>
    <mergeCell ref="G4:H5"/>
    <mergeCell ref="G6:H7"/>
    <mergeCell ref="A1:M1"/>
    <mergeCell ref="A2:B3"/>
    <mergeCell ref="A4:B5"/>
    <mergeCell ref="A6:B7"/>
    <mergeCell ref="A8:B9"/>
    <mergeCell ref="E2:F3"/>
    <mergeCell ref="E4:F5"/>
    <mergeCell ref="E6:F7"/>
    <mergeCell ref="E8:F9"/>
    <mergeCell ref="I2:I3"/>
  </mergeCells>
  <printOptions/>
  <pageMargins left="0.394" right="0.394" top="0.591" bottom="0.591" header="0" footer="0"/>
  <pageSetup firstPageNumber="0" useFirstPageNumber="1" fitToHeight="0" fitToWidth="1"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561</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93</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 301",'Stavební rozpočet'!AB12:AB609)</f>
        <v>0</v>
      </c>
      <c r="D14" s="118" t="s">
        <v>913</v>
      </c>
      <c r="E14" s="119"/>
      <c r="F14" s="27">
        <f>'VORN objektu (SO 301)'!I15</f>
        <v>0</v>
      </c>
      <c r="G14" s="118" t="s">
        <v>137</v>
      </c>
      <c r="H14" s="119"/>
      <c r="I14" s="53">
        <f>'VORN objektu (SO 301)'!I21</f>
        <v>0</v>
      </c>
    </row>
    <row r="15" spans="1:9" ht="15" customHeight="1">
      <c r="A15" s="21" t="s">
        <v>878</v>
      </c>
      <c r="B15" s="29" t="s">
        <v>238</v>
      </c>
      <c r="C15" s="27">
        <f>SUMIF('Stavební rozpočet'!AI12:AI609,"SO 301",'Stavební rozpočet'!AC12:AC609)</f>
        <v>0</v>
      </c>
      <c r="D15" s="118" t="s">
        <v>132</v>
      </c>
      <c r="E15" s="119"/>
      <c r="F15" s="27">
        <f>'VORN objektu (SO 301)'!I16</f>
        <v>0</v>
      </c>
      <c r="G15" s="118" t="s">
        <v>1011</v>
      </c>
      <c r="H15" s="119"/>
      <c r="I15" s="53">
        <f>'VORN objektu (SO 301)'!I22</f>
        <v>0</v>
      </c>
    </row>
    <row r="16" spans="1:9" ht="15" customHeight="1">
      <c r="A16" s="32" t="s">
        <v>126</v>
      </c>
      <c r="B16" s="29" t="s">
        <v>318</v>
      </c>
      <c r="C16" s="27">
        <f>SUMIF('Stavební rozpočet'!AI12:AI609,"SO 301",'Stavební rozpočet'!AD12:AD609)</f>
        <v>0</v>
      </c>
      <c r="D16" s="118" t="s">
        <v>944</v>
      </c>
      <c r="E16" s="119"/>
      <c r="F16" s="27">
        <f>'VORN objektu (SO 301)'!I17</f>
        <v>0</v>
      </c>
      <c r="G16" s="118" t="s">
        <v>1215</v>
      </c>
      <c r="H16" s="119"/>
      <c r="I16" s="53">
        <f>'VORN objektu (SO 301)'!I23</f>
        <v>0</v>
      </c>
    </row>
    <row r="17" spans="1:9" ht="15" customHeight="1">
      <c r="A17" s="21" t="s">
        <v>878</v>
      </c>
      <c r="B17" s="29" t="s">
        <v>238</v>
      </c>
      <c r="C17" s="27">
        <f>SUMIF('Stavební rozpočet'!AI12:AI609,"SO 301",'Stavební rozpočet'!AE12:AE609)</f>
        <v>0</v>
      </c>
      <c r="D17" s="118" t="s">
        <v>878</v>
      </c>
      <c r="E17" s="119"/>
      <c r="F17" s="53" t="s">
        <v>878</v>
      </c>
      <c r="G17" s="118" t="s">
        <v>664</v>
      </c>
      <c r="H17" s="119"/>
      <c r="I17" s="53">
        <f>'VORN objektu (SO 301)'!I24</f>
        <v>0</v>
      </c>
    </row>
    <row r="18" spans="1:9" ht="15" customHeight="1">
      <c r="A18" s="32" t="s">
        <v>383</v>
      </c>
      <c r="B18" s="29" t="s">
        <v>318</v>
      </c>
      <c r="C18" s="27">
        <f>SUMIF('Stavební rozpočet'!AI12:AI609,"SO 301",'Stavební rozpočet'!AF12:AF609)</f>
        <v>0</v>
      </c>
      <c r="D18" s="118" t="s">
        <v>878</v>
      </c>
      <c r="E18" s="119"/>
      <c r="F18" s="53" t="s">
        <v>878</v>
      </c>
      <c r="G18" s="118" t="s">
        <v>825</v>
      </c>
      <c r="H18" s="119"/>
      <c r="I18" s="53">
        <f>'VORN objektu (SO 301)'!I25</f>
        <v>0</v>
      </c>
    </row>
    <row r="19" spans="1:9" ht="15" customHeight="1">
      <c r="A19" s="21" t="s">
        <v>878</v>
      </c>
      <c r="B19" s="29" t="s">
        <v>238</v>
      </c>
      <c r="C19" s="27">
        <f>SUMIF('Stavební rozpočet'!AI12:AI609,"SO 301",'Stavební rozpočet'!AG12:AG609)</f>
        <v>0</v>
      </c>
      <c r="D19" s="118" t="s">
        <v>878</v>
      </c>
      <c r="E19" s="119"/>
      <c r="F19" s="53" t="s">
        <v>878</v>
      </c>
      <c r="G19" s="118" t="s">
        <v>1251</v>
      </c>
      <c r="H19" s="119"/>
      <c r="I19" s="53">
        <f>'VORN objektu (SO 301)'!I26</f>
        <v>0</v>
      </c>
    </row>
    <row r="20" spans="1:9" ht="15" customHeight="1">
      <c r="A20" s="112" t="s">
        <v>95</v>
      </c>
      <c r="B20" s="113"/>
      <c r="C20" s="27">
        <f>SUMIF('Stavební rozpočet'!AI12:AI609,"SO 301",'Stavební rozpočet'!AH12:AH609)</f>
        <v>0</v>
      </c>
      <c r="D20" s="118" t="s">
        <v>878</v>
      </c>
      <c r="E20" s="119"/>
      <c r="F20" s="53" t="s">
        <v>878</v>
      </c>
      <c r="G20" s="118" t="s">
        <v>878</v>
      </c>
      <c r="H20" s="119"/>
      <c r="I20" s="53" t="s">
        <v>878</v>
      </c>
    </row>
    <row r="21" spans="1:9" ht="15" customHeight="1">
      <c r="A21" s="114" t="s">
        <v>1250</v>
      </c>
      <c r="B21" s="115"/>
      <c r="C21" s="27">
        <f>SUMIF('Stavební rozpočet'!AI12:AI609,"SO 301",'Stavební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23">
        <f>SUM(I14:I21)</f>
        <v>0</v>
      </c>
    </row>
    <row r="23" spans="7:9" ht="15" customHeight="1">
      <c r="G23" s="112" t="s">
        <v>875</v>
      </c>
      <c r="H23" s="113"/>
      <c r="I23" s="27">
        <f>'VORN objektu (SO 301)'!I36</f>
        <v>0</v>
      </c>
    </row>
    <row r="25" spans="1:3" ht="15" customHeight="1">
      <c r="A25" s="124" t="s">
        <v>498</v>
      </c>
      <c r="B25" s="125"/>
      <c r="C25" s="42">
        <f>('Stavební rozpočet'!AS93+'Stavební rozpočet'!AS103+'Stavební rozpočet'!AS105+'Stavební rozpočet'!AS110+'Stavební rozpočet'!AS113+'Stavební rozpočet'!AS118+'Stavební rozpočet'!AS121+'Stavební rozpočet'!AS124+'Stavební rozpočet'!AS127+'Stavební rozpočet'!AS129+'Stavební rozpočet'!AS132+'Stavební rozpočet'!AS139+'Stavební rozpočet'!AS141+'Stavební rozpočet'!AS151+'Stavební rozpočet'!AS187+'Stavební rozpočet'!AS189+'Stavební rozpočet'!AS192+'Stavební rozpočet'!AS195)</f>
        <v>0</v>
      </c>
    </row>
    <row r="26" spans="1:9" ht="15" customHeight="1">
      <c r="A26" s="126" t="s">
        <v>33</v>
      </c>
      <c r="B26" s="127"/>
      <c r="C26" s="57">
        <f>('Stavební rozpočet'!AT93+'Stavební rozpočet'!AT103+'Stavební rozpočet'!AT105+'Stavební rozpočet'!AT110+'Stavební rozpočet'!AT113+'Stavební rozpočet'!AT118+'Stavební rozpočet'!AT121+'Stavební rozpočet'!AT124+'Stavební rozpočet'!AT127+'Stavební rozpočet'!AT129+'Stavební rozpočet'!AT132+'Stavební rozpočet'!AT139+'Stavební rozpočet'!AT141+'Stavební rozpočet'!AT151+'Stavební rozpočet'!AT187+'Stavební rozpočet'!AT189+'Stavební rozpočet'!AT192+'Stavební rozpočet'!AT195)</f>
        <v>0</v>
      </c>
      <c r="D26" s="125" t="s">
        <v>275</v>
      </c>
      <c r="E26" s="125"/>
      <c r="F26" s="42">
        <f>ROUND(C26*(15/100),2)</f>
        <v>0</v>
      </c>
      <c r="G26" s="125" t="s">
        <v>184</v>
      </c>
      <c r="H26" s="125"/>
      <c r="I26" s="42">
        <f>SUM(C25:C27)</f>
        <v>0</v>
      </c>
    </row>
    <row r="27" spans="1:9" ht="15" customHeight="1">
      <c r="A27" s="126" t="s">
        <v>64</v>
      </c>
      <c r="B27" s="127"/>
      <c r="C27" s="57">
        <f>('Stavební rozpočet'!AU93+'Stavební rozpočet'!AU103+'Stavební rozpočet'!AU105+'Stavební rozpočet'!AU110+'Stavební rozpočet'!AU113+'Stavební rozpočet'!AU118+'Stavební rozpočet'!AU121+'Stavební rozpočet'!AU124+'Stavební rozpočet'!AU127+'Stavební rozpočet'!AU129+'Stavební rozpočet'!AU132+'Stavební rozpočet'!AU139+'Stavební rozpočet'!AU141+'Stavební rozpočet'!AU151+'Stavební rozpočet'!AU187+'Stavební rozpočet'!AU189+'Stavební rozpočet'!AU192+'Stavební rozpočet'!AU195)</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883</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14</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216</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93</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741</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95</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 302",'Stavební rozpočet'!AB12:AB609)</f>
        <v>0</v>
      </c>
      <c r="D14" s="118" t="s">
        <v>913</v>
      </c>
      <c r="E14" s="119"/>
      <c r="F14" s="27">
        <f>'VORN objektu (SO 302)'!I15</f>
        <v>0</v>
      </c>
      <c r="G14" s="118" t="s">
        <v>137</v>
      </c>
      <c r="H14" s="119"/>
      <c r="I14" s="53">
        <f>'VORN objektu (SO 302)'!I21</f>
        <v>0</v>
      </c>
    </row>
    <row r="15" spans="1:9" ht="15" customHeight="1">
      <c r="A15" s="21" t="s">
        <v>878</v>
      </c>
      <c r="B15" s="29" t="s">
        <v>238</v>
      </c>
      <c r="C15" s="27">
        <f>SUMIF('Stavební rozpočet'!AI12:AI609,"SO 302",'Stavební rozpočet'!AC12:AC609)</f>
        <v>0</v>
      </c>
      <c r="D15" s="118" t="s">
        <v>132</v>
      </c>
      <c r="E15" s="119"/>
      <c r="F15" s="27">
        <f>'VORN objektu (SO 302)'!I16</f>
        <v>0</v>
      </c>
      <c r="G15" s="118" t="s">
        <v>1011</v>
      </c>
      <c r="H15" s="119"/>
      <c r="I15" s="53">
        <f>'VORN objektu (SO 302)'!I22</f>
        <v>0</v>
      </c>
    </row>
    <row r="16" spans="1:9" ht="15" customHeight="1">
      <c r="A16" s="32" t="s">
        <v>126</v>
      </c>
      <c r="B16" s="29" t="s">
        <v>318</v>
      </c>
      <c r="C16" s="27">
        <f>SUMIF('Stavební rozpočet'!AI12:AI609,"SO 302",'Stavební rozpočet'!AD12:AD609)</f>
        <v>0</v>
      </c>
      <c r="D16" s="118" t="s">
        <v>944</v>
      </c>
      <c r="E16" s="119"/>
      <c r="F16" s="27">
        <f>'VORN objektu (SO 302)'!I17</f>
        <v>0</v>
      </c>
      <c r="G16" s="118" t="s">
        <v>1215</v>
      </c>
      <c r="H16" s="119"/>
      <c r="I16" s="53">
        <f>'VORN objektu (SO 302)'!I23</f>
        <v>0</v>
      </c>
    </row>
    <row r="17" spans="1:9" ht="15" customHeight="1">
      <c r="A17" s="21" t="s">
        <v>878</v>
      </c>
      <c r="B17" s="29" t="s">
        <v>238</v>
      </c>
      <c r="C17" s="27">
        <f>SUMIF('Stavební rozpočet'!AI12:AI609,"SO 302",'Stavební rozpočet'!AE12:AE609)</f>
        <v>0</v>
      </c>
      <c r="D17" s="118" t="s">
        <v>878</v>
      </c>
      <c r="E17" s="119"/>
      <c r="F17" s="53" t="s">
        <v>878</v>
      </c>
      <c r="G17" s="118" t="s">
        <v>664</v>
      </c>
      <c r="H17" s="119"/>
      <c r="I17" s="53">
        <f>'VORN objektu (SO 302)'!I24</f>
        <v>0</v>
      </c>
    </row>
    <row r="18" spans="1:9" ht="15" customHeight="1">
      <c r="A18" s="32" t="s">
        <v>383</v>
      </c>
      <c r="B18" s="29" t="s">
        <v>318</v>
      </c>
      <c r="C18" s="27">
        <f>SUMIF('Stavební rozpočet'!AI12:AI609,"SO 302",'Stavební rozpočet'!AF12:AF609)</f>
        <v>0</v>
      </c>
      <c r="D18" s="118" t="s">
        <v>878</v>
      </c>
      <c r="E18" s="119"/>
      <c r="F18" s="53" t="s">
        <v>878</v>
      </c>
      <c r="G18" s="118" t="s">
        <v>825</v>
      </c>
      <c r="H18" s="119"/>
      <c r="I18" s="53">
        <f>'VORN objektu (SO 302)'!I25</f>
        <v>0</v>
      </c>
    </row>
    <row r="19" spans="1:9" ht="15" customHeight="1">
      <c r="A19" s="21" t="s">
        <v>878</v>
      </c>
      <c r="B19" s="29" t="s">
        <v>238</v>
      </c>
      <c r="C19" s="27">
        <f>SUMIF('Stavební rozpočet'!AI12:AI609,"SO 302",'Stavební rozpočet'!AG12:AG609)</f>
        <v>0</v>
      </c>
      <c r="D19" s="118" t="s">
        <v>878</v>
      </c>
      <c r="E19" s="119"/>
      <c r="F19" s="53" t="s">
        <v>878</v>
      </c>
      <c r="G19" s="118" t="s">
        <v>1251</v>
      </c>
      <c r="H19" s="119"/>
      <c r="I19" s="53">
        <f>'VORN objektu (SO 302)'!I26</f>
        <v>0</v>
      </c>
    </row>
    <row r="20" spans="1:9" ht="15" customHeight="1">
      <c r="A20" s="112" t="s">
        <v>95</v>
      </c>
      <c r="B20" s="113"/>
      <c r="C20" s="27">
        <f>SUMIF('Stavební rozpočet'!AI12:AI609,"SO 302",'Stavební rozpočet'!AH12:AH609)</f>
        <v>0</v>
      </c>
      <c r="D20" s="118" t="s">
        <v>878</v>
      </c>
      <c r="E20" s="119"/>
      <c r="F20" s="53" t="s">
        <v>878</v>
      </c>
      <c r="G20" s="118" t="s">
        <v>878</v>
      </c>
      <c r="H20" s="119"/>
      <c r="I20" s="53" t="s">
        <v>878</v>
      </c>
    </row>
    <row r="21" spans="1:9" ht="15" customHeight="1">
      <c r="A21" s="114" t="s">
        <v>1250</v>
      </c>
      <c r="B21" s="115"/>
      <c r="C21" s="27">
        <f>SUMIF('Stavební rozpočet'!AI12:AI609,"SO 302",'Stavební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23">
        <f>SUM(I14:I21)</f>
        <v>0</v>
      </c>
    </row>
    <row r="23" spans="7:9" ht="15" customHeight="1">
      <c r="G23" s="112" t="s">
        <v>875</v>
      </c>
      <c r="H23" s="113"/>
      <c r="I23" s="27">
        <f>'VORN objektu (SO 302)'!I36</f>
        <v>0</v>
      </c>
    </row>
    <row r="25" spans="1:3" ht="15" customHeight="1">
      <c r="A25" s="124" t="s">
        <v>498</v>
      </c>
      <c r="B25" s="125"/>
      <c r="C25" s="42">
        <f>('Stavební rozpočet'!AS205+'Stavební rozpočet'!AS222+'Stavební rozpočet'!AS226+'Stavební rozpočet'!AS229+'Stavební rozpočet'!AS232+'Stavební rozpočet'!AS235+'Stavební rozpočet'!AS238+'Stavební rozpočet'!AS240+'Stavební rozpočet'!AS243+'Stavební rozpočet'!AS247+'Stavební rozpočet'!AS252+'Stavební rozpočet'!AS273+'Stavební rozpočet'!AS302+'Stavební rozpočet'!AS305+'Stavební rozpočet'!AS307)</f>
        <v>0</v>
      </c>
    </row>
    <row r="26" spans="1:9" ht="15" customHeight="1">
      <c r="A26" s="126" t="s">
        <v>33</v>
      </c>
      <c r="B26" s="127"/>
      <c r="C26" s="57">
        <f>('Stavební rozpočet'!AT205+'Stavební rozpočet'!AT222+'Stavební rozpočet'!AT226+'Stavební rozpočet'!AT229+'Stavební rozpočet'!AT232+'Stavební rozpočet'!AT235+'Stavební rozpočet'!AT238+'Stavební rozpočet'!AT240+'Stavební rozpočet'!AT243+'Stavební rozpočet'!AT247+'Stavební rozpočet'!AT252+'Stavební rozpočet'!AT273+'Stavební rozpočet'!AT302+'Stavební rozpočet'!AT305+'Stavební rozpočet'!AT307)</f>
        <v>0</v>
      </c>
      <c r="D26" s="125" t="s">
        <v>275</v>
      </c>
      <c r="E26" s="125"/>
      <c r="F26" s="42">
        <f>ROUND(C26*(15/100),2)</f>
        <v>0</v>
      </c>
      <c r="G26" s="125" t="s">
        <v>184</v>
      </c>
      <c r="H26" s="125"/>
      <c r="I26" s="42">
        <f>SUM(C25:C27)</f>
        <v>0</v>
      </c>
    </row>
    <row r="27" spans="1:9" ht="15" customHeight="1">
      <c r="A27" s="126" t="s">
        <v>64</v>
      </c>
      <c r="B27" s="127"/>
      <c r="C27" s="57">
        <f>('Stavební rozpočet'!AU205+'Stavební rozpočet'!AU222+'Stavební rozpočet'!AU226+'Stavební rozpočet'!AU229+'Stavební rozpočet'!AU232+'Stavební rozpočet'!AU235+'Stavební rozpočet'!AU238+'Stavební rozpočet'!AU240+'Stavební rozpočet'!AU243+'Stavební rozpočet'!AU247+'Stavební rozpočet'!AU252+'Stavební rozpočet'!AU273+'Stavební rozpočet'!AU302+'Stavební rozpočet'!AU305+'Stavební rozpočet'!AU307)</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1417</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95</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1339</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32</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 303",'Stavební rozpočet'!AB12:AB609)</f>
        <v>0</v>
      </c>
      <c r="D14" s="118" t="s">
        <v>913</v>
      </c>
      <c r="E14" s="119"/>
      <c r="F14" s="27">
        <f>'VORN objektu (SO 303)'!I15</f>
        <v>0</v>
      </c>
      <c r="G14" s="118" t="s">
        <v>137</v>
      </c>
      <c r="H14" s="119"/>
      <c r="I14" s="53">
        <f>'VORN objektu (SO 303)'!I21</f>
        <v>0</v>
      </c>
    </row>
    <row r="15" spans="1:9" ht="15" customHeight="1">
      <c r="A15" s="21" t="s">
        <v>878</v>
      </c>
      <c r="B15" s="29" t="s">
        <v>238</v>
      </c>
      <c r="C15" s="27">
        <f>SUMIF('Stavební rozpočet'!AI12:AI609,"SO 303",'Stavební rozpočet'!AC12:AC609)</f>
        <v>0</v>
      </c>
      <c r="D15" s="118" t="s">
        <v>132</v>
      </c>
      <c r="E15" s="119"/>
      <c r="F15" s="27">
        <f>'VORN objektu (SO 303)'!I16</f>
        <v>0</v>
      </c>
      <c r="G15" s="118" t="s">
        <v>1011</v>
      </c>
      <c r="H15" s="119"/>
      <c r="I15" s="53">
        <f>'VORN objektu (SO 303)'!I22</f>
        <v>0</v>
      </c>
    </row>
    <row r="16" spans="1:9" ht="15" customHeight="1">
      <c r="A16" s="32" t="s">
        <v>126</v>
      </c>
      <c r="B16" s="29" t="s">
        <v>318</v>
      </c>
      <c r="C16" s="27">
        <f>SUMIF('Stavební rozpočet'!AI12:AI609,"SO 303",'Stavební rozpočet'!AD12:AD609)</f>
        <v>0</v>
      </c>
      <c r="D16" s="118" t="s">
        <v>944</v>
      </c>
      <c r="E16" s="119"/>
      <c r="F16" s="27">
        <f>'VORN objektu (SO 303)'!I17</f>
        <v>0</v>
      </c>
      <c r="G16" s="118" t="s">
        <v>1215</v>
      </c>
      <c r="H16" s="119"/>
      <c r="I16" s="53">
        <f>'VORN objektu (SO 303)'!I23</f>
        <v>0</v>
      </c>
    </row>
    <row r="17" spans="1:9" ht="15" customHeight="1">
      <c r="A17" s="21" t="s">
        <v>878</v>
      </c>
      <c r="B17" s="29" t="s">
        <v>238</v>
      </c>
      <c r="C17" s="27">
        <f>SUMIF('Stavební rozpočet'!AI12:AI609,"SO 303",'Stavební rozpočet'!AE12:AE609)</f>
        <v>0</v>
      </c>
      <c r="D17" s="118" t="s">
        <v>878</v>
      </c>
      <c r="E17" s="119"/>
      <c r="F17" s="53" t="s">
        <v>878</v>
      </c>
      <c r="G17" s="118" t="s">
        <v>664</v>
      </c>
      <c r="H17" s="119"/>
      <c r="I17" s="53">
        <f>'VORN objektu (SO 303)'!I24</f>
        <v>0</v>
      </c>
    </row>
    <row r="18" spans="1:9" ht="15" customHeight="1">
      <c r="A18" s="32" t="s">
        <v>383</v>
      </c>
      <c r="B18" s="29" t="s">
        <v>318</v>
      </c>
      <c r="C18" s="27">
        <f>SUMIF('Stavební rozpočet'!AI12:AI609,"SO 303",'Stavební rozpočet'!AF12:AF609)</f>
        <v>0</v>
      </c>
      <c r="D18" s="118" t="s">
        <v>878</v>
      </c>
      <c r="E18" s="119"/>
      <c r="F18" s="53" t="s">
        <v>878</v>
      </c>
      <c r="G18" s="118" t="s">
        <v>825</v>
      </c>
      <c r="H18" s="119"/>
      <c r="I18" s="53">
        <f>'VORN objektu (SO 303)'!I25</f>
        <v>0</v>
      </c>
    </row>
    <row r="19" spans="1:9" ht="15" customHeight="1">
      <c r="A19" s="21" t="s">
        <v>878</v>
      </c>
      <c r="B19" s="29" t="s">
        <v>238</v>
      </c>
      <c r="C19" s="27">
        <f>SUMIF('Stavební rozpočet'!AI12:AI609,"SO 303",'Stavební rozpočet'!AG12:AG609)</f>
        <v>0</v>
      </c>
      <c r="D19" s="118" t="s">
        <v>878</v>
      </c>
      <c r="E19" s="119"/>
      <c r="F19" s="53" t="s">
        <v>878</v>
      </c>
      <c r="G19" s="118" t="s">
        <v>1251</v>
      </c>
      <c r="H19" s="119"/>
      <c r="I19" s="53">
        <f>'VORN objektu (SO 303)'!I26</f>
        <v>0</v>
      </c>
    </row>
    <row r="20" spans="1:9" ht="15" customHeight="1">
      <c r="A20" s="112" t="s">
        <v>95</v>
      </c>
      <c r="B20" s="113"/>
      <c r="C20" s="27">
        <f>SUMIF('Stavební rozpočet'!AI12:AI609,"SO 303",'Stavební rozpočet'!AH12:AH609)</f>
        <v>0</v>
      </c>
      <c r="D20" s="118" t="s">
        <v>878</v>
      </c>
      <c r="E20" s="119"/>
      <c r="F20" s="53" t="s">
        <v>878</v>
      </c>
      <c r="G20" s="118" t="s">
        <v>878</v>
      </c>
      <c r="H20" s="119"/>
      <c r="I20" s="53" t="s">
        <v>878</v>
      </c>
    </row>
    <row r="21" spans="1:9" ht="15" customHeight="1">
      <c r="A21" s="114" t="s">
        <v>1250</v>
      </c>
      <c r="B21" s="115"/>
      <c r="C21" s="27">
        <f>SUMIF('Stavební rozpočet'!AI12:AI609,"SO 303",'Stavební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23">
        <f>SUM(I14:I21)</f>
        <v>0</v>
      </c>
    </row>
    <row r="23" spans="7:9" ht="15" customHeight="1">
      <c r="G23" s="112" t="s">
        <v>875</v>
      </c>
      <c r="H23" s="113"/>
      <c r="I23" s="27">
        <f>'VORN objektu (SO 303)'!I36</f>
        <v>0</v>
      </c>
    </row>
    <row r="25" spans="1:3" ht="15" customHeight="1">
      <c r="A25" s="124" t="s">
        <v>498</v>
      </c>
      <c r="B25" s="125"/>
      <c r="C25" s="42">
        <f>('Stavební rozpočet'!AS316+'Stavební rozpočet'!AS329+'Stavební rozpočet'!AS332+'Stavební rozpočet'!AS335+'Stavební rozpočet'!AS338+'Stavební rozpočet'!AS341+'Stavební rozpočet'!AS343+'Stavební rozpočet'!AS345+'Stavební rozpočet'!AS351+'Stavební rozpočet'!AS355)</f>
        <v>0</v>
      </c>
    </row>
    <row r="26" spans="1:9" ht="15" customHeight="1">
      <c r="A26" s="126" t="s">
        <v>33</v>
      </c>
      <c r="B26" s="127"/>
      <c r="C26" s="57">
        <f>('Stavební rozpočet'!AT316+'Stavební rozpočet'!AT329+'Stavební rozpočet'!AT332+'Stavební rozpočet'!AT335+'Stavební rozpočet'!AT338+'Stavební rozpočet'!AT341+'Stavební rozpočet'!AT343+'Stavební rozpočet'!AT345+'Stavební rozpočet'!AT351+'Stavební rozpočet'!AT355)</f>
        <v>0</v>
      </c>
      <c r="D26" s="125" t="s">
        <v>275</v>
      </c>
      <c r="E26" s="125"/>
      <c r="F26" s="42">
        <f>ROUND(C26*(15/100),2)</f>
        <v>0</v>
      </c>
      <c r="G26" s="125" t="s">
        <v>184</v>
      </c>
      <c r="H26" s="125"/>
      <c r="I26" s="42">
        <f>SUM(C25:C27)</f>
        <v>0</v>
      </c>
    </row>
    <row r="27" spans="1:9" ht="15" customHeight="1">
      <c r="A27" s="126" t="s">
        <v>64</v>
      </c>
      <c r="B27" s="127"/>
      <c r="C27" s="57">
        <f>('Stavební rozpočet'!AU316+'Stavební rozpočet'!AU329+'Stavební rozpočet'!AU332+'Stavební rozpočet'!AU335+'Stavební rozpočet'!AU338+'Stavební rozpočet'!AU341+'Stavební rozpočet'!AU343+'Stavební rozpočet'!AU345+'Stavební rozpočet'!AU351+'Stavební rozpočet'!AU355)</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1376</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32</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816</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69</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 304",'Stavební rozpočet'!AB12:AB609)</f>
        <v>0</v>
      </c>
      <c r="D14" s="118" t="s">
        <v>913</v>
      </c>
      <c r="E14" s="119"/>
      <c r="F14" s="27">
        <f>'VORN objektu (SO 304)'!I15</f>
        <v>0</v>
      </c>
      <c r="G14" s="118" t="s">
        <v>137</v>
      </c>
      <c r="H14" s="119"/>
      <c r="I14" s="53">
        <f>'VORN objektu (SO 304)'!I21</f>
        <v>0</v>
      </c>
    </row>
    <row r="15" spans="1:9" ht="15" customHeight="1">
      <c r="A15" s="21" t="s">
        <v>878</v>
      </c>
      <c r="B15" s="29" t="s">
        <v>238</v>
      </c>
      <c r="C15" s="27">
        <f>SUMIF('Stavební rozpočet'!AI12:AI609,"SO 304",'Stavební rozpočet'!AC12:AC609)</f>
        <v>0</v>
      </c>
      <c r="D15" s="118" t="s">
        <v>132</v>
      </c>
      <c r="E15" s="119"/>
      <c r="F15" s="27">
        <f>'VORN objektu (SO 304)'!I16</f>
        <v>0</v>
      </c>
      <c r="G15" s="118" t="s">
        <v>1011</v>
      </c>
      <c r="H15" s="119"/>
      <c r="I15" s="53">
        <f>'VORN objektu (SO 304)'!I22</f>
        <v>0</v>
      </c>
    </row>
    <row r="16" spans="1:9" ht="15" customHeight="1">
      <c r="A16" s="32" t="s">
        <v>126</v>
      </c>
      <c r="B16" s="29" t="s">
        <v>318</v>
      </c>
      <c r="C16" s="27">
        <f>SUMIF('Stavební rozpočet'!AI12:AI609,"SO 304",'Stavební rozpočet'!AD12:AD609)</f>
        <v>0</v>
      </c>
      <c r="D16" s="118" t="s">
        <v>944</v>
      </c>
      <c r="E16" s="119"/>
      <c r="F16" s="27">
        <f>'VORN objektu (SO 304)'!I17</f>
        <v>0</v>
      </c>
      <c r="G16" s="118" t="s">
        <v>1215</v>
      </c>
      <c r="H16" s="119"/>
      <c r="I16" s="53">
        <f>'VORN objektu (SO 304)'!I23</f>
        <v>0</v>
      </c>
    </row>
    <row r="17" spans="1:9" ht="15" customHeight="1">
      <c r="A17" s="21" t="s">
        <v>878</v>
      </c>
      <c r="B17" s="29" t="s">
        <v>238</v>
      </c>
      <c r="C17" s="27">
        <f>SUMIF('Stavební rozpočet'!AI12:AI609,"SO 304",'Stavební rozpočet'!AE12:AE609)</f>
        <v>0</v>
      </c>
      <c r="D17" s="118" t="s">
        <v>878</v>
      </c>
      <c r="E17" s="119"/>
      <c r="F17" s="53" t="s">
        <v>878</v>
      </c>
      <c r="G17" s="118" t="s">
        <v>664</v>
      </c>
      <c r="H17" s="119"/>
      <c r="I17" s="53">
        <f>'VORN objektu (SO 304)'!I24</f>
        <v>0</v>
      </c>
    </row>
    <row r="18" spans="1:9" ht="15" customHeight="1">
      <c r="A18" s="32" t="s">
        <v>383</v>
      </c>
      <c r="B18" s="29" t="s">
        <v>318</v>
      </c>
      <c r="C18" s="27">
        <f>SUMIF('Stavební rozpočet'!AI12:AI609,"SO 304",'Stavební rozpočet'!AF12:AF609)</f>
        <v>0</v>
      </c>
      <c r="D18" s="118" t="s">
        <v>878</v>
      </c>
      <c r="E18" s="119"/>
      <c r="F18" s="53" t="s">
        <v>878</v>
      </c>
      <c r="G18" s="118" t="s">
        <v>825</v>
      </c>
      <c r="H18" s="119"/>
      <c r="I18" s="53">
        <f>'VORN objektu (SO 304)'!I25</f>
        <v>0</v>
      </c>
    </row>
    <row r="19" spans="1:9" ht="15" customHeight="1">
      <c r="A19" s="21" t="s">
        <v>878</v>
      </c>
      <c r="B19" s="29" t="s">
        <v>238</v>
      </c>
      <c r="C19" s="27">
        <f>SUMIF('Stavební rozpočet'!AI12:AI609,"SO 304",'Stavební rozpočet'!AG12:AG609)</f>
        <v>0</v>
      </c>
      <c r="D19" s="118" t="s">
        <v>878</v>
      </c>
      <c r="E19" s="119"/>
      <c r="F19" s="53" t="s">
        <v>878</v>
      </c>
      <c r="G19" s="118" t="s">
        <v>1251</v>
      </c>
      <c r="H19" s="119"/>
      <c r="I19" s="53">
        <f>'VORN objektu (SO 304)'!I26</f>
        <v>0</v>
      </c>
    </row>
    <row r="20" spans="1:9" ht="15" customHeight="1">
      <c r="A20" s="112" t="s">
        <v>95</v>
      </c>
      <c r="B20" s="113"/>
      <c r="C20" s="27">
        <f>SUMIF('Stavební rozpočet'!AI12:AI609,"SO 304",'Stavební rozpočet'!AH12:AH609)</f>
        <v>0</v>
      </c>
      <c r="D20" s="118" t="s">
        <v>878</v>
      </c>
      <c r="E20" s="119"/>
      <c r="F20" s="53" t="s">
        <v>878</v>
      </c>
      <c r="G20" s="118" t="s">
        <v>878</v>
      </c>
      <c r="H20" s="119"/>
      <c r="I20" s="53" t="s">
        <v>878</v>
      </c>
    </row>
    <row r="21" spans="1:9" ht="15" customHeight="1">
      <c r="A21" s="114" t="s">
        <v>1250</v>
      </c>
      <c r="B21" s="115"/>
      <c r="C21" s="27">
        <f>SUMIF('Stavební rozpočet'!AI12:AI609,"SO 304",'Stavební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23">
        <f>SUM(I14:I21)</f>
        <v>0</v>
      </c>
    </row>
    <row r="23" spans="7:9" ht="15" customHeight="1">
      <c r="G23" s="112" t="s">
        <v>875</v>
      </c>
      <c r="H23" s="113"/>
      <c r="I23" s="27">
        <f>'VORN objektu (SO 304)'!I36</f>
        <v>0</v>
      </c>
    </row>
    <row r="25" spans="1:3" ht="15" customHeight="1">
      <c r="A25" s="124" t="s">
        <v>498</v>
      </c>
      <c r="B25" s="125"/>
      <c r="C25" s="42">
        <f>('Stavební rozpočet'!AS359+'Stavební rozpočet'!AS372+'Stavební rozpočet'!AS374+'Stavební rozpočet'!AS377+'Stavební rozpočet'!AS380+'Stavební rozpočet'!AS383+'Stavební rozpočet'!AS386+'Stavební rozpočet'!AS389+'Stavební rozpočet'!AS392+'Stavební rozpočet'!AS394+'Stavební rozpočet'!AS397+'Stavební rozpočet'!AS399+'Stavební rozpočet'!AS408+'Stavební rozpočet'!AS415+'Stavební rozpočet'!AS435+'Stavební rozpočet'!AS437)</f>
        <v>0</v>
      </c>
    </row>
    <row r="26" spans="1:9" ht="15" customHeight="1">
      <c r="A26" s="126" t="s">
        <v>33</v>
      </c>
      <c r="B26" s="127"/>
      <c r="C26" s="57">
        <f>('Stavební rozpočet'!AT359+'Stavební rozpočet'!AT372+'Stavební rozpočet'!AT374+'Stavební rozpočet'!AT377+'Stavební rozpočet'!AT380+'Stavební rozpočet'!AT383+'Stavební rozpočet'!AT386+'Stavební rozpočet'!AT389+'Stavební rozpočet'!AT392+'Stavební rozpočet'!AT394+'Stavební rozpočet'!AT397+'Stavební rozpočet'!AT399+'Stavební rozpočet'!AT408+'Stavební rozpočet'!AT415+'Stavební rozpočet'!AT435+'Stavební rozpočet'!AT437)</f>
        <v>0</v>
      </c>
      <c r="D26" s="125" t="s">
        <v>275</v>
      </c>
      <c r="E26" s="125"/>
      <c r="F26" s="42">
        <f>ROUND(C26*(15/100),2)</f>
        <v>0</v>
      </c>
      <c r="G26" s="125" t="s">
        <v>184</v>
      </c>
      <c r="H26" s="125"/>
      <c r="I26" s="42">
        <f>SUM(C25:C27)</f>
        <v>0</v>
      </c>
    </row>
    <row r="27" spans="1:9" ht="15" customHeight="1">
      <c r="A27" s="126" t="s">
        <v>64</v>
      </c>
      <c r="B27" s="127"/>
      <c r="C27" s="57">
        <f>('Stavební rozpočet'!AU359+'Stavební rozpočet'!AU372+'Stavební rozpočet'!AU374+'Stavební rozpočet'!AU377+'Stavební rozpočet'!AU380+'Stavební rozpočet'!AU383+'Stavební rozpočet'!AU386+'Stavební rozpočet'!AU389+'Stavební rozpočet'!AU392+'Stavební rozpočet'!AU394+'Stavební rozpočet'!AU397+'Stavební rozpočet'!AU399+'Stavební rozpočet'!AU408+'Stavební rozpočet'!AU415+'Stavební rozpočet'!AU435+'Stavební rozpočet'!AU437)</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623</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69</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1398</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20</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 305",'Stavební rozpočet'!AB12:AB609)</f>
        <v>0</v>
      </c>
      <c r="D14" s="118" t="s">
        <v>913</v>
      </c>
      <c r="E14" s="119"/>
      <c r="F14" s="27">
        <f>'VORN objektu (SO 305)'!I15</f>
        <v>0</v>
      </c>
      <c r="G14" s="118" t="s">
        <v>137</v>
      </c>
      <c r="H14" s="119"/>
      <c r="I14" s="53">
        <f>'VORN objektu (SO 305)'!I21</f>
        <v>0</v>
      </c>
    </row>
    <row r="15" spans="1:9" ht="15" customHeight="1">
      <c r="A15" s="21" t="s">
        <v>878</v>
      </c>
      <c r="B15" s="29" t="s">
        <v>238</v>
      </c>
      <c r="C15" s="27">
        <f>SUMIF('Stavební rozpočet'!AI12:AI609,"SO 305",'Stavební rozpočet'!AC12:AC609)</f>
        <v>0</v>
      </c>
      <c r="D15" s="118" t="s">
        <v>132</v>
      </c>
      <c r="E15" s="119"/>
      <c r="F15" s="27">
        <f>'VORN objektu (SO 305)'!I16</f>
        <v>0</v>
      </c>
      <c r="G15" s="118" t="s">
        <v>1011</v>
      </c>
      <c r="H15" s="119"/>
      <c r="I15" s="53">
        <f>'VORN objektu (SO 305)'!I22</f>
        <v>0</v>
      </c>
    </row>
    <row r="16" spans="1:9" ht="15" customHeight="1">
      <c r="A16" s="32" t="s">
        <v>126</v>
      </c>
      <c r="B16" s="29" t="s">
        <v>318</v>
      </c>
      <c r="C16" s="27">
        <f>SUMIF('Stavební rozpočet'!AI12:AI609,"SO 305",'Stavební rozpočet'!AD12:AD609)</f>
        <v>0</v>
      </c>
      <c r="D16" s="118" t="s">
        <v>944</v>
      </c>
      <c r="E16" s="119"/>
      <c r="F16" s="27">
        <f>'VORN objektu (SO 305)'!I17</f>
        <v>0</v>
      </c>
      <c r="G16" s="118" t="s">
        <v>1215</v>
      </c>
      <c r="H16" s="119"/>
      <c r="I16" s="53">
        <f>'VORN objektu (SO 305)'!I23</f>
        <v>0</v>
      </c>
    </row>
    <row r="17" spans="1:9" ht="15" customHeight="1">
      <c r="A17" s="21" t="s">
        <v>878</v>
      </c>
      <c r="B17" s="29" t="s">
        <v>238</v>
      </c>
      <c r="C17" s="27">
        <f>SUMIF('Stavební rozpočet'!AI12:AI609,"SO 305",'Stavební rozpočet'!AE12:AE609)</f>
        <v>0</v>
      </c>
      <c r="D17" s="118" t="s">
        <v>878</v>
      </c>
      <c r="E17" s="119"/>
      <c r="F17" s="53" t="s">
        <v>878</v>
      </c>
      <c r="G17" s="118" t="s">
        <v>664</v>
      </c>
      <c r="H17" s="119"/>
      <c r="I17" s="53">
        <f>'VORN objektu (SO 305)'!I24</f>
        <v>0</v>
      </c>
    </row>
    <row r="18" spans="1:9" ht="15" customHeight="1">
      <c r="A18" s="32" t="s">
        <v>383</v>
      </c>
      <c r="B18" s="29" t="s">
        <v>318</v>
      </c>
      <c r="C18" s="27">
        <f>SUMIF('Stavební rozpočet'!AI12:AI609,"SO 305",'Stavební rozpočet'!AF12:AF609)</f>
        <v>0</v>
      </c>
      <c r="D18" s="118" t="s">
        <v>878</v>
      </c>
      <c r="E18" s="119"/>
      <c r="F18" s="53" t="s">
        <v>878</v>
      </c>
      <c r="G18" s="118" t="s">
        <v>825</v>
      </c>
      <c r="H18" s="119"/>
      <c r="I18" s="53">
        <f>'VORN objektu (SO 305)'!I25</f>
        <v>0</v>
      </c>
    </row>
    <row r="19" spans="1:9" ht="15" customHeight="1">
      <c r="A19" s="21" t="s">
        <v>878</v>
      </c>
      <c r="B19" s="29" t="s">
        <v>238</v>
      </c>
      <c r="C19" s="27">
        <f>SUMIF('Stavební rozpočet'!AI12:AI609,"SO 305",'Stavební rozpočet'!AG12:AG609)</f>
        <v>0</v>
      </c>
      <c r="D19" s="118" t="s">
        <v>878</v>
      </c>
      <c r="E19" s="119"/>
      <c r="F19" s="53" t="s">
        <v>878</v>
      </c>
      <c r="G19" s="118" t="s">
        <v>1251</v>
      </c>
      <c r="H19" s="119"/>
      <c r="I19" s="53">
        <f>'VORN objektu (SO 305)'!I26</f>
        <v>0</v>
      </c>
    </row>
    <row r="20" spans="1:9" ht="15" customHeight="1">
      <c r="A20" s="112" t="s">
        <v>95</v>
      </c>
      <c r="B20" s="113"/>
      <c r="C20" s="27">
        <f>SUMIF('Stavební rozpočet'!AI12:AI609,"SO 305",'Stavební rozpočet'!AH12:AH609)</f>
        <v>0</v>
      </c>
      <c r="D20" s="118" t="s">
        <v>878</v>
      </c>
      <c r="E20" s="119"/>
      <c r="F20" s="53" t="s">
        <v>878</v>
      </c>
      <c r="G20" s="118" t="s">
        <v>878</v>
      </c>
      <c r="H20" s="119"/>
      <c r="I20" s="53" t="s">
        <v>878</v>
      </c>
    </row>
    <row r="21" spans="1:9" ht="15" customHeight="1">
      <c r="A21" s="114" t="s">
        <v>1250</v>
      </c>
      <c r="B21" s="115"/>
      <c r="C21" s="27">
        <f>SUMIF('Stavební rozpočet'!AI12:AI609,"SO 305",'Stavební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23">
        <f>SUM(I14:I21)</f>
        <v>0</v>
      </c>
    </row>
    <row r="23" spans="7:9" ht="15" customHeight="1">
      <c r="G23" s="112" t="s">
        <v>875</v>
      </c>
      <c r="H23" s="113"/>
      <c r="I23" s="27">
        <f>'VORN objektu (SO 305)'!I36</f>
        <v>0</v>
      </c>
    </row>
    <row r="25" spans="1:3" ht="15" customHeight="1">
      <c r="A25" s="124" t="s">
        <v>498</v>
      </c>
      <c r="B25" s="125"/>
      <c r="C25" s="42">
        <f>('Stavební rozpočet'!AS445+'Stavební rozpočet'!AS447+'Stavební rozpočet'!AS449+'Stavební rozpočet'!AS452+'Stavební rozpočet'!AS455+'Stavební rozpočet'!AS458+'Stavební rozpočet'!AS460+'Stavební rozpočet'!AS462+'Stavební rozpočet'!AS468)</f>
        <v>0</v>
      </c>
    </row>
    <row r="26" spans="1:9" ht="15" customHeight="1">
      <c r="A26" s="126" t="s">
        <v>33</v>
      </c>
      <c r="B26" s="127"/>
      <c r="C26" s="57">
        <f>('Stavební rozpočet'!AT445+'Stavební rozpočet'!AT447+'Stavební rozpočet'!AT449+'Stavební rozpočet'!AT452+'Stavební rozpočet'!AT455+'Stavební rozpočet'!AT458+'Stavební rozpočet'!AT460+'Stavební rozpočet'!AT462+'Stavební rozpočet'!AT468)</f>
        <v>0</v>
      </c>
      <c r="D26" s="125" t="s">
        <v>275</v>
      </c>
      <c r="E26" s="125"/>
      <c r="F26" s="42">
        <f>ROUND(C26*(15/100),2)</f>
        <v>0</v>
      </c>
      <c r="G26" s="125" t="s">
        <v>184</v>
      </c>
      <c r="H26" s="125"/>
      <c r="I26" s="42">
        <f>SUM(C25:C27)</f>
        <v>0</v>
      </c>
    </row>
    <row r="27" spans="1:9" ht="15" customHeight="1">
      <c r="A27" s="126" t="s">
        <v>64</v>
      </c>
      <c r="B27" s="127"/>
      <c r="C27" s="57">
        <f>('Stavební rozpočet'!AU445+'Stavební rozpočet'!AU447+'Stavební rozpočet'!AU449+'Stavební rozpočet'!AU452+'Stavební rozpočet'!AU455+'Stavební rozpočet'!AU458+'Stavební rozpočet'!AU460+'Stavební rozpočet'!AU462+'Stavební rozpočet'!AU468)</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P24"/>
  <sheetViews>
    <sheetView showOutlineSymbols="0" zoomScalePageLayoutView="0" workbookViewId="0" topLeftCell="A1">
      <pane ySplit="11" topLeftCell="A12" activePane="bottomLeft" state="frozen"/>
      <selection pane="topLeft" activeCell="A24" sqref="A24:L24"/>
      <selection pane="bottomLeft" activeCell="D34" sqref="D34"/>
    </sheetView>
  </sheetViews>
  <sheetFormatPr defaultColWidth="14.16015625" defaultRowHeight="15" customHeight="1"/>
  <cols>
    <col min="1" max="9" width="18.33203125" style="0" customWidth="1"/>
    <col min="10" max="12" width="16.66015625" style="0" customWidth="1"/>
    <col min="13" max="16" width="14.16015625" style="0" hidden="1" customWidth="1"/>
  </cols>
  <sheetData>
    <row r="1" spans="1:12" ht="54.75" customHeight="1">
      <c r="A1" s="72" t="s">
        <v>112</v>
      </c>
      <c r="B1" s="72"/>
      <c r="C1" s="72"/>
      <c r="D1" s="72"/>
      <c r="E1" s="72"/>
      <c r="F1" s="72"/>
      <c r="G1" s="72"/>
      <c r="H1" s="72"/>
      <c r="I1" s="72"/>
      <c r="J1" s="72"/>
      <c r="K1" s="72"/>
      <c r="L1" s="72"/>
    </row>
    <row r="2" spans="1:12" ht="15" customHeight="1">
      <c r="A2" s="73" t="s">
        <v>93</v>
      </c>
      <c r="B2" s="74"/>
      <c r="C2" s="74"/>
      <c r="D2" s="80" t="str">
        <f>'Stavební rozpočet'!C2</f>
        <v>Stavební úprava ul. Sokolovská</v>
      </c>
      <c r="E2" s="81"/>
      <c r="F2" s="81"/>
      <c r="G2" s="78" t="s">
        <v>12</v>
      </c>
      <c r="H2" s="78" t="str">
        <f>'Stavební rozpočet'!G2</f>
        <v>458 dní</v>
      </c>
      <c r="I2" s="78" t="s">
        <v>1066</v>
      </c>
      <c r="J2" s="78" t="str">
        <f>'Stavební rozpočet'!J2</f>
        <v> </v>
      </c>
      <c r="K2" s="74"/>
      <c r="L2" s="83"/>
    </row>
    <row r="3" spans="1:12" ht="15" customHeight="1">
      <c r="A3" s="75"/>
      <c r="B3" s="76"/>
      <c r="C3" s="76"/>
      <c r="D3" s="82"/>
      <c r="E3" s="82"/>
      <c r="F3" s="82"/>
      <c r="G3" s="76"/>
      <c r="H3" s="76"/>
      <c r="I3" s="76"/>
      <c r="J3" s="76"/>
      <c r="K3" s="76"/>
      <c r="L3" s="84"/>
    </row>
    <row r="4" spans="1:12" ht="15" customHeight="1">
      <c r="A4" s="77" t="s">
        <v>689</v>
      </c>
      <c r="B4" s="76"/>
      <c r="C4" s="76"/>
      <c r="D4" s="79" t="str">
        <f>'Stavební rozpočet'!C4</f>
        <v>Stavební úprava ulice včetně inž. sítí</v>
      </c>
      <c r="E4" s="76"/>
      <c r="F4" s="76"/>
      <c r="G4" s="79" t="s">
        <v>1120</v>
      </c>
      <c r="H4" s="79" t="str">
        <f>'Stavební rozpočet'!G4</f>
        <v>01.08.2023</v>
      </c>
      <c r="I4" s="79" t="s">
        <v>874</v>
      </c>
      <c r="J4" s="79" t="str">
        <f>'Stavební rozpočet'!J4</f>
        <v>Bau-projekt spol s.r.o. Jan Hyliš</v>
      </c>
      <c r="K4" s="76"/>
      <c r="L4" s="84"/>
    </row>
    <row r="5" spans="1:12" ht="15" customHeight="1">
      <c r="A5" s="75"/>
      <c r="B5" s="76"/>
      <c r="C5" s="76"/>
      <c r="D5" s="76"/>
      <c r="E5" s="76"/>
      <c r="F5" s="76"/>
      <c r="G5" s="76"/>
      <c r="H5" s="76"/>
      <c r="I5" s="76"/>
      <c r="J5" s="76"/>
      <c r="K5" s="76"/>
      <c r="L5" s="84"/>
    </row>
    <row r="6" spans="1:12" ht="15" customHeight="1">
      <c r="A6" s="77" t="s">
        <v>117</v>
      </c>
      <c r="B6" s="76"/>
      <c r="C6" s="76"/>
      <c r="D6" s="79" t="str">
        <f>'Stavební rozpočet'!C6</f>
        <v>Milevsko</v>
      </c>
      <c r="E6" s="76"/>
      <c r="F6" s="76"/>
      <c r="G6" s="79" t="s">
        <v>400</v>
      </c>
      <c r="H6" s="79" t="str">
        <f>'Stavební rozpočet'!G6</f>
        <v>31.10.2024</v>
      </c>
      <c r="I6" s="79" t="s">
        <v>1103</v>
      </c>
      <c r="J6" s="79" t="str">
        <f>'Stavební rozpočet'!J6</f>
        <v> </v>
      </c>
      <c r="K6" s="76"/>
      <c r="L6" s="84"/>
    </row>
    <row r="7" spans="1:12" ht="15" customHeight="1">
      <c r="A7" s="75"/>
      <c r="B7" s="76"/>
      <c r="C7" s="76"/>
      <c r="D7" s="76"/>
      <c r="E7" s="76"/>
      <c r="F7" s="76"/>
      <c r="G7" s="76"/>
      <c r="H7" s="76"/>
      <c r="I7" s="76"/>
      <c r="J7" s="76"/>
      <c r="K7" s="76"/>
      <c r="L7" s="84"/>
    </row>
    <row r="8" spans="1:12" ht="15" customHeight="1">
      <c r="A8" s="77" t="s">
        <v>602</v>
      </c>
      <c r="B8" s="76"/>
      <c r="C8" s="76"/>
      <c r="D8" s="79" t="str">
        <f>'Stavební rozpočet'!C8</f>
        <v> </v>
      </c>
      <c r="E8" s="76"/>
      <c r="F8" s="76"/>
      <c r="G8" s="79" t="s">
        <v>707</v>
      </c>
      <c r="H8" s="79" t="str">
        <f>'Stavební rozpočet'!G8</f>
        <v>01.06.2023</v>
      </c>
      <c r="I8" s="79" t="s">
        <v>843</v>
      </c>
      <c r="J8" s="79" t="str">
        <f>'Stavební rozpočet'!J8</f>
        <v> </v>
      </c>
      <c r="K8" s="76"/>
      <c r="L8" s="84"/>
    </row>
    <row r="9" spans="1:12" ht="15" customHeight="1">
      <c r="A9" s="75"/>
      <c r="B9" s="76"/>
      <c r="C9" s="76"/>
      <c r="D9" s="76"/>
      <c r="E9" s="76"/>
      <c r="F9" s="76"/>
      <c r="G9" s="76"/>
      <c r="H9" s="76"/>
      <c r="I9" s="76"/>
      <c r="J9" s="76"/>
      <c r="K9" s="76"/>
      <c r="L9" s="84"/>
    </row>
    <row r="10" spans="1:12" ht="15" customHeight="1">
      <c r="A10" s="97" t="s">
        <v>1172</v>
      </c>
      <c r="B10" s="98"/>
      <c r="C10" s="98"/>
      <c r="D10" s="98"/>
      <c r="E10" s="98"/>
      <c r="F10" s="98"/>
      <c r="G10" s="98"/>
      <c r="H10" s="98"/>
      <c r="I10" s="98"/>
      <c r="J10" s="89" t="s">
        <v>812</v>
      </c>
      <c r="K10" s="90"/>
      <c r="L10" s="91"/>
    </row>
    <row r="11" spans="1:12" ht="15" customHeight="1">
      <c r="A11" s="99" t="s">
        <v>1370</v>
      </c>
      <c r="B11" s="87"/>
      <c r="C11" s="87"/>
      <c r="D11" s="87"/>
      <c r="E11" s="87"/>
      <c r="F11" s="87"/>
      <c r="G11" s="87"/>
      <c r="H11" s="87"/>
      <c r="I11" s="87"/>
      <c r="J11" s="70" t="s">
        <v>71</v>
      </c>
      <c r="K11" s="47" t="s">
        <v>238</v>
      </c>
      <c r="L11" s="39" t="s">
        <v>135</v>
      </c>
    </row>
    <row r="12" spans="1:16" ht="15" customHeight="1">
      <c r="A12" s="75" t="s">
        <v>1057</v>
      </c>
      <c r="B12" s="76"/>
      <c r="C12" s="76"/>
      <c r="D12" s="76"/>
      <c r="E12" s="76"/>
      <c r="F12" s="76"/>
      <c r="G12" s="76"/>
      <c r="H12" s="76"/>
      <c r="I12" s="76"/>
      <c r="J12" s="40">
        <f>'Stavební rozpočet'!J12</f>
        <v>0</v>
      </c>
      <c r="K12" s="40">
        <f>'Stavební rozpočet'!K12</f>
        <v>0</v>
      </c>
      <c r="L12" s="13">
        <f>'Stavební rozpočet'!L12</f>
        <v>0</v>
      </c>
      <c r="M12" s="17" t="s">
        <v>544</v>
      </c>
      <c r="N12" s="40">
        <f aca="true" t="shared" si="0" ref="N12:N21">IF(M12="F",0,L12)</f>
        <v>0</v>
      </c>
      <c r="O12" s="59" t="s">
        <v>1302</v>
      </c>
      <c r="P12" s="40">
        <f aca="true" t="shared" si="1" ref="P12:P21">IF(M12="T",0,L12)</f>
        <v>0</v>
      </c>
    </row>
    <row r="13" spans="1:16" ht="15" customHeight="1">
      <c r="A13" s="75" t="s">
        <v>1434</v>
      </c>
      <c r="B13" s="76"/>
      <c r="C13" s="76"/>
      <c r="D13" s="76"/>
      <c r="E13" s="76"/>
      <c r="F13" s="76"/>
      <c r="G13" s="76"/>
      <c r="H13" s="76"/>
      <c r="I13" s="76"/>
      <c r="J13" s="40">
        <f>'Stavební rozpočet'!J69</f>
        <v>0</v>
      </c>
      <c r="K13" s="40">
        <f>'Stavební rozpočet'!K69</f>
        <v>0</v>
      </c>
      <c r="L13" s="13">
        <f>'Stavební rozpočet'!L69</f>
        <v>0</v>
      </c>
      <c r="M13" s="17" t="s">
        <v>544</v>
      </c>
      <c r="N13" s="40">
        <f t="shared" si="0"/>
        <v>0</v>
      </c>
      <c r="O13" s="59" t="s">
        <v>1420</v>
      </c>
      <c r="P13" s="40">
        <f t="shared" si="1"/>
        <v>0</v>
      </c>
    </row>
    <row r="14" spans="1:16" ht="15" customHeight="1">
      <c r="A14" s="75" t="s">
        <v>989</v>
      </c>
      <c r="B14" s="76"/>
      <c r="C14" s="76"/>
      <c r="D14" s="76"/>
      <c r="E14" s="76"/>
      <c r="F14" s="76"/>
      <c r="G14" s="76"/>
      <c r="H14" s="76"/>
      <c r="I14" s="76"/>
      <c r="J14" s="40">
        <f>'Stavební rozpočet'!J92</f>
        <v>0</v>
      </c>
      <c r="K14" s="40">
        <f>'Stavební rozpočet'!K92</f>
        <v>0</v>
      </c>
      <c r="L14" s="13">
        <f>'Stavební rozpočet'!L92</f>
        <v>0</v>
      </c>
      <c r="M14" s="17" t="s">
        <v>544</v>
      </c>
      <c r="N14" s="40">
        <f t="shared" si="0"/>
        <v>0</v>
      </c>
      <c r="O14" s="59" t="s">
        <v>110</v>
      </c>
      <c r="P14" s="40">
        <f t="shared" si="1"/>
        <v>0</v>
      </c>
    </row>
    <row r="15" spans="1:16" ht="15" customHeight="1">
      <c r="A15" s="75" t="s">
        <v>1134</v>
      </c>
      <c r="B15" s="76"/>
      <c r="C15" s="76"/>
      <c r="D15" s="76"/>
      <c r="E15" s="76"/>
      <c r="F15" s="76"/>
      <c r="G15" s="76"/>
      <c r="H15" s="76"/>
      <c r="I15" s="76"/>
      <c r="J15" s="40">
        <f>'Stavební rozpočet'!J204</f>
        <v>0</v>
      </c>
      <c r="K15" s="40">
        <f>'Stavební rozpočet'!K204</f>
        <v>0</v>
      </c>
      <c r="L15" s="13">
        <f>'Stavební rozpočet'!L204</f>
        <v>0</v>
      </c>
      <c r="M15" s="17" t="s">
        <v>544</v>
      </c>
      <c r="N15" s="40">
        <f t="shared" si="0"/>
        <v>0</v>
      </c>
      <c r="O15" s="59" t="s">
        <v>255</v>
      </c>
      <c r="P15" s="40">
        <f t="shared" si="1"/>
        <v>0</v>
      </c>
    </row>
    <row r="16" spans="1:16" ht="15" customHeight="1">
      <c r="A16" s="75" t="s">
        <v>540</v>
      </c>
      <c r="B16" s="76"/>
      <c r="C16" s="76"/>
      <c r="D16" s="76"/>
      <c r="E16" s="76"/>
      <c r="F16" s="76"/>
      <c r="G16" s="76"/>
      <c r="H16" s="76"/>
      <c r="I16" s="76"/>
      <c r="J16" s="40">
        <f>'Stavební rozpočet'!J315</f>
        <v>0</v>
      </c>
      <c r="K16" s="40">
        <f>'Stavební rozpočet'!K315</f>
        <v>0</v>
      </c>
      <c r="L16" s="13">
        <f>'Stavební rozpočet'!L315</f>
        <v>0</v>
      </c>
      <c r="M16" s="17" t="s">
        <v>544</v>
      </c>
      <c r="N16" s="40">
        <f t="shared" si="0"/>
        <v>0</v>
      </c>
      <c r="O16" s="59" t="s">
        <v>1129</v>
      </c>
      <c r="P16" s="40">
        <f t="shared" si="1"/>
        <v>0</v>
      </c>
    </row>
    <row r="17" spans="1:16" ht="15" customHeight="1">
      <c r="A17" s="75" t="s">
        <v>1128</v>
      </c>
      <c r="B17" s="76"/>
      <c r="C17" s="76"/>
      <c r="D17" s="76"/>
      <c r="E17" s="76"/>
      <c r="F17" s="76"/>
      <c r="G17" s="76"/>
      <c r="H17" s="76"/>
      <c r="I17" s="76"/>
      <c r="J17" s="40">
        <f>'Stavební rozpočet'!J358</f>
        <v>0</v>
      </c>
      <c r="K17" s="40">
        <f>'Stavební rozpočet'!K358</f>
        <v>0</v>
      </c>
      <c r="L17" s="13">
        <f>'Stavební rozpočet'!L358</f>
        <v>0</v>
      </c>
      <c r="M17" s="17" t="s">
        <v>544</v>
      </c>
      <c r="N17" s="40">
        <f t="shared" si="0"/>
        <v>0</v>
      </c>
      <c r="O17" s="59" t="s">
        <v>1271</v>
      </c>
      <c r="P17" s="40">
        <f t="shared" si="1"/>
        <v>0</v>
      </c>
    </row>
    <row r="18" spans="1:16" ht="15" customHeight="1">
      <c r="A18" s="75" t="s">
        <v>483</v>
      </c>
      <c r="B18" s="76"/>
      <c r="C18" s="76"/>
      <c r="D18" s="76"/>
      <c r="E18" s="76"/>
      <c r="F18" s="76"/>
      <c r="G18" s="76"/>
      <c r="H18" s="76"/>
      <c r="I18" s="76"/>
      <c r="J18" s="40">
        <f>'Stavební rozpočet'!J444</f>
        <v>0</v>
      </c>
      <c r="K18" s="40">
        <f>'Stavební rozpočet'!K444</f>
        <v>0</v>
      </c>
      <c r="L18" s="13">
        <f>'Stavební rozpočet'!L444</f>
        <v>0</v>
      </c>
      <c r="M18" s="17" t="s">
        <v>544</v>
      </c>
      <c r="N18" s="40">
        <f t="shared" si="0"/>
        <v>0</v>
      </c>
      <c r="O18" s="59" t="s">
        <v>349</v>
      </c>
      <c r="P18" s="40">
        <f t="shared" si="1"/>
        <v>0</v>
      </c>
    </row>
    <row r="19" spans="1:16" ht="15" customHeight="1">
      <c r="A19" s="75" t="s">
        <v>1313</v>
      </c>
      <c r="B19" s="76"/>
      <c r="C19" s="76"/>
      <c r="D19" s="76"/>
      <c r="E19" s="76"/>
      <c r="F19" s="76"/>
      <c r="G19" s="76"/>
      <c r="H19" s="76"/>
      <c r="I19" s="76"/>
      <c r="J19" s="40">
        <f>'Stavební rozpočet'!J474</f>
        <v>0</v>
      </c>
      <c r="K19" s="40">
        <f>'Stavební rozpočet'!K474</f>
        <v>0</v>
      </c>
      <c r="L19" s="13">
        <f>'Stavební rozpočet'!L474</f>
        <v>0</v>
      </c>
      <c r="M19" s="17" t="s">
        <v>544</v>
      </c>
      <c r="N19" s="40">
        <f t="shared" si="0"/>
        <v>0</v>
      </c>
      <c r="O19" s="59" t="s">
        <v>643</v>
      </c>
      <c r="P19" s="40">
        <f t="shared" si="1"/>
        <v>0</v>
      </c>
    </row>
    <row r="20" spans="1:16" ht="15" customHeight="1">
      <c r="A20" s="75" t="s">
        <v>1435</v>
      </c>
      <c r="B20" s="76"/>
      <c r="C20" s="76"/>
      <c r="D20" s="76"/>
      <c r="E20" s="76"/>
      <c r="F20" s="76"/>
      <c r="G20" s="76"/>
      <c r="H20" s="76"/>
      <c r="I20" s="76"/>
      <c r="J20" s="40">
        <f>'Stavební rozpočet'!J531</f>
        <v>0</v>
      </c>
      <c r="K20" s="40">
        <f>'Stavební rozpočet'!K531</f>
        <v>0</v>
      </c>
      <c r="L20" s="13">
        <f>'Stavební rozpočet'!L531</f>
        <v>0</v>
      </c>
      <c r="M20" s="17" t="s">
        <v>544</v>
      </c>
      <c r="N20" s="40">
        <f t="shared" si="0"/>
        <v>0</v>
      </c>
      <c r="O20" s="59" t="s">
        <v>1121</v>
      </c>
      <c r="P20" s="40">
        <f t="shared" si="1"/>
        <v>0</v>
      </c>
    </row>
    <row r="21" spans="1:16" ht="15" customHeight="1">
      <c r="A21" s="100" t="s">
        <v>865</v>
      </c>
      <c r="B21" s="96"/>
      <c r="C21" s="96"/>
      <c r="D21" s="96"/>
      <c r="E21" s="96"/>
      <c r="F21" s="96"/>
      <c r="G21" s="96"/>
      <c r="H21" s="96"/>
      <c r="I21" s="96"/>
      <c r="J21" s="51">
        <f>'Stavební rozpočet'!J585</f>
        <v>0</v>
      </c>
      <c r="K21" s="51">
        <f>'Stavební rozpočet'!K585</f>
        <v>0</v>
      </c>
      <c r="L21" s="30">
        <f>'Stavební rozpočet'!L585</f>
        <v>0</v>
      </c>
      <c r="M21" s="17" t="s">
        <v>544</v>
      </c>
      <c r="N21" s="40">
        <f t="shared" si="0"/>
        <v>0</v>
      </c>
      <c r="O21" s="59" t="s">
        <v>683</v>
      </c>
      <c r="P21" s="40">
        <f t="shared" si="1"/>
        <v>0</v>
      </c>
    </row>
    <row r="22" spans="10:12" ht="15" customHeight="1">
      <c r="J22" s="82" t="s">
        <v>1010</v>
      </c>
      <c r="K22" s="82"/>
      <c r="L22" s="45">
        <f>SUM(P12:P21)</f>
        <v>0</v>
      </c>
    </row>
    <row r="23" ht="15" customHeight="1">
      <c r="A23" s="5" t="s">
        <v>114</v>
      </c>
    </row>
    <row r="24" spans="1:12" ht="12.75" customHeight="1">
      <c r="A24" s="79" t="s">
        <v>878</v>
      </c>
      <c r="B24" s="76"/>
      <c r="C24" s="76"/>
      <c r="D24" s="76"/>
      <c r="E24" s="76"/>
      <c r="F24" s="76"/>
      <c r="G24" s="76"/>
      <c r="H24" s="76"/>
      <c r="I24" s="76"/>
      <c r="J24" s="76"/>
      <c r="K24" s="76"/>
      <c r="L24" s="76"/>
    </row>
  </sheetData>
  <sheetProtection/>
  <mergeCells count="40">
    <mergeCell ref="A21:I21"/>
    <mergeCell ref="J22:K22"/>
    <mergeCell ref="A24:L24"/>
    <mergeCell ref="A15:I15"/>
    <mergeCell ref="A16:I16"/>
    <mergeCell ref="A17:I17"/>
    <mergeCell ref="A18:I18"/>
    <mergeCell ref="A19:I19"/>
    <mergeCell ref="A20:I20"/>
    <mergeCell ref="A10:I10"/>
    <mergeCell ref="A11:I11"/>
    <mergeCell ref="J10:L10"/>
    <mergeCell ref="A12:I12"/>
    <mergeCell ref="A13:I13"/>
    <mergeCell ref="A14:I14"/>
    <mergeCell ref="I2:I3"/>
    <mergeCell ref="I4:I5"/>
    <mergeCell ref="I6:I7"/>
    <mergeCell ref="I8:I9"/>
    <mergeCell ref="J2:L3"/>
    <mergeCell ref="J4:L5"/>
    <mergeCell ref="J6:L7"/>
    <mergeCell ref="J8:L9"/>
    <mergeCell ref="G4:G5"/>
    <mergeCell ref="G6:G7"/>
    <mergeCell ref="G8:G9"/>
    <mergeCell ref="H2:H3"/>
    <mergeCell ref="H4:H5"/>
    <mergeCell ref="H6:H7"/>
    <mergeCell ref="H8:H9"/>
    <mergeCell ref="A1:L1"/>
    <mergeCell ref="A2:C3"/>
    <mergeCell ref="A4:C5"/>
    <mergeCell ref="A6:C7"/>
    <mergeCell ref="A8:C9"/>
    <mergeCell ref="D2:F3"/>
    <mergeCell ref="D4:F5"/>
    <mergeCell ref="D6:F7"/>
    <mergeCell ref="D8:F9"/>
    <mergeCell ref="G2:G3"/>
  </mergeCells>
  <printOptions/>
  <pageMargins left="0.394" right="0.394" top="0.591" bottom="0.591" header="0" footer="0"/>
  <pageSetup firstPageNumber="0" useFirstPageNumber="1" fitToHeight="0" fitToWidth="1" orientation="landscape"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373</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20</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537</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37</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 800",'Stavební rozpočet'!AB12:AB609)</f>
        <v>0</v>
      </c>
      <c r="D14" s="118" t="s">
        <v>913</v>
      </c>
      <c r="E14" s="119"/>
      <c r="F14" s="27">
        <f>'VORN objektu (SO 800)'!I15</f>
        <v>0</v>
      </c>
      <c r="G14" s="118" t="s">
        <v>137</v>
      </c>
      <c r="H14" s="119"/>
      <c r="I14" s="53">
        <f>'VORN objektu (SO 800)'!I21</f>
        <v>0</v>
      </c>
    </row>
    <row r="15" spans="1:9" ht="15" customHeight="1">
      <c r="A15" s="21" t="s">
        <v>878</v>
      </c>
      <c r="B15" s="29" t="s">
        <v>238</v>
      </c>
      <c r="C15" s="27">
        <f>SUMIF('Stavební rozpočet'!AI12:AI609,"SO 800",'Stavební rozpočet'!AC12:AC609)</f>
        <v>0</v>
      </c>
      <c r="D15" s="118" t="s">
        <v>132</v>
      </c>
      <c r="E15" s="119"/>
      <c r="F15" s="27">
        <f>'VORN objektu (SO 800)'!I16</f>
        <v>0</v>
      </c>
      <c r="G15" s="118" t="s">
        <v>1011</v>
      </c>
      <c r="H15" s="119"/>
      <c r="I15" s="53">
        <f>'VORN objektu (SO 800)'!I22</f>
        <v>0</v>
      </c>
    </row>
    <row r="16" spans="1:9" ht="15" customHeight="1">
      <c r="A16" s="32" t="s">
        <v>126</v>
      </c>
      <c r="B16" s="29" t="s">
        <v>318</v>
      </c>
      <c r="C16" s="27">
        <f>SUMIF('Stavební rozpočet'!AI12:AI609,"SO 800",'Stavební rozpočet'!AD12:AD609)</f>
        <v>0</v>
      </c>
      <c r="D16" s="118" t="s">
        <v>944</v>
      </c>
      <c r="E16" s="119"/>
      <c r="F16" s="27">
        <f>'VORN objektu (SO 800)'!I17</f>
        <v>0</v>
      </c>
      <c r="G16" s="118" t="s">
        <v>1215</v>
      </c>
      <c r="H16" s="119"/>
      <c r="I16" s="53">
        <f>'VORN objektu (SO 800)'!I23</f>
        <v>0</v>
      </c>
    </row>
    <row r="17" spans="1:9" ht="15" customHeight="1">
      <c r="A17" s="21" t="s">
        <v>878</v>
      </c>
      <c r="B17" s="29" t="s">
        <v>238</v>
      </c>
      <c r="C17" s="27">
        <f>SUMIF('Stavební rozpočet'!AI12:AI609,"SO 800",'Stavební rozpočet'!AE12:AE609)</f>
        <v>0</v>
      </c>
      <c r="D17" s="118" t="s">
        <v>878</v>
      </c>
      <c r="E17" s="119"/>
      <c r="F17" s="53" t="s">
        <v>878</v>
      </c>
      <c r="G17" s="118" t="s">
        <v>664</v>
      </c>
      <c r="H17" s="119"/>
      <c r="I17" s="53">
        <f>'VORN objektu (SO 800)'!I24</f>
        <v>0</v>
      </c>
    </row>
    <row r="18" spans="1:9" ht="15" customHeight="1">
      <c r="A18" s="32" t="s">
        <v>383</v>
      </c>
      <c r="B18" s="29" t="s">
        <v>318</v>
      </c>
      <c r="C18" s="27">
        <f>SUMIF('Stavební rozpočet'!AI12:AI609,"SO 800",'Stavební rozpočet'!AF12:AF609)</f>
        <v>0</v>
      </c>
      <c r="D18" s="118" t="s">
        <v>878</v>
      </c>
      <c r="E18" s="119"/>
      <c r="F18" s="53" t="s">
        <v>878</v>
      </c>
      <c r="G18" s="118" t="s">
        <v>825</v>
      </c>
      <c r="H18" s="119"/>
      <c r="I18" s="53">
        <f>'VORN objektu (SO 800)'!I25</f>
        <v>0</v>
      </c>
    </row>
    <row r="19" spans="1:9" ht="15" customHeight="1">
      <c r="A19" s="21" t="s">
        <v>878</v>
      </c>
      <c r="B19" s="29" t="s">
        <v>238</v>
      </c>
      <c r="C19" s="27">
        <f>SUMIF('Stavební rozpočet'!AI12:AI609,"SO 800",'Stavební rozpočet'!AG12:AG609)</f>
        <v>0</v>
      </c>
      <c r="D19" s="118" t="s">
        <v>878</v>
      </c>
      <c r="E19" s="119"/>
      <c r="F19" s="53" t="s">
        <v>878</v>
      </c>
      <c r="G19" s="118" t="s">
        <v>1251</v>
      </c>
      <c r="H19" s="119"/>
      <c r="I19" s="53">
        <f>'VORN objektu (SO 800)'!I26</f>
        <v>0</v>
      </c>
    </row>
    <row r="20" spans="1:9" ht="15" customHeight="1">
      <c r="A20" s="112" t="s">
        <v>95</v>
      </c>
      <c r="B20" s="113"/>
      <c r="C20" s="27">
        <f>SUMIF('Stavební rozpočet'!AI12:AI609,"SO 800",'Stavební rozpočet'!AH12:AH609)</f>
        <v>0</v>
      </c>
      <c r="D20" s="118" t="s">
        <v>878</v>
      </c>
      <c r="E20" s="119"/>
      <c r="F20" s="53" t="s">
        <v>878</v>
      </c>
      <c r="G20" s="118" t="s">
        <v>878</v>
      </c>
      <c r="H20" s="119"/>
      <c r="I20" s="53" t="s">
        <v>878</v>
      </c>
    </row>
    <row r="21" spans="1:9" ht="15" customHeight="1">
      <c r="A21" s="114" t="s">
        <v>1250</v>
      </c>
      <c r="B21" s="115"/>
      <c r="C21" s="27">
        <f>SUMIF('Stavební rozpočet'!AI12:AI609,"SO 800",'Stavební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23">
        <f>SUM(I14:I21)</f>
        <v>0</v>
      </c>
    </row>
    <row r="23" spans="7:9" ht="15" customHeight="1">
      <c r="G23" s="112" t="s">
        <v>875</v>
      </c>
      <c r="H23" s="113"/>
      <c r="I23" s="27">
        <f>'VORN objektu (SO 800)'!I36</f>
        <v>0</v>
      </c>
    </row>
    <row r="25" spans="1:3" ht="15" customHeight="1">
      <c r="A25" s="124" t="s">
        <v>498</v>
      </c>
      <c r="B25" s="125"/>
      <c r="C25" s="42">
        <f>('Stavební rozpočet'!AS475+'Stavební rozpočet'!AS477+'Stavební rozpočet'!AS479+'Stavební rozpočet'!AS515+'Stavební rozpočet'!AS518+'Stavební rozpočet'!AS520+'Stavební rozpočet'!AS523+'Stavební rozpočet'!AS525+'Stavební rozpočet'!AS527+'Stavební rozpočet'!AS528)</f>
        <v>0</v>
      </c>
    </row>
    <row r="26" spans="1:9" ht="15" customHeight="1">
      <c r="A26" s="126" t="s">
        <v>33</v>
      </c>
      <c r="B26" s="127"/>
      <c r="C26" s="57">
        <f>('Stavební rozpočet'!AT475+'Stavební rozpočet'!AT477+'Stavební rozpočet'!AT479+'Stavební rozpočet'!AT515+'Stavební rozpočet'!AT518+'Stavební rozpočet'!AT520+'Stavební rozpočet'!AT523+'Stavební rozpočet'!AT525+'Stavební rozpočet'!AT527+'Stavební rozpočet'!AT528)</f>
        <v>0</v>
      </c>
      <c r="D26" s="125" t="s">
        <v>275</v>
      </c>
      <c r="E26" s="125"/>
      <c r="F26" s="42">
        <f>ROUND(C26*(15/100),2)</f>
        <v>0</v>
      </c>
      <c r="G26" s="125" t="s">
        <v>184</v>
      </c>
      <c r="H26" s="125"/>
      <c r="I26" s="42">
        <f>SUM(C25:C27)</f>
        <v>0</v>
      </c>
    </row>
    <row r="27" spans="1:9" ht="15" customHeight="1">
      <c r="A27" s="126" t="s">
        <v>64</v>
      </c>
      <c r="B27" s="127"/>
      <c r="C27" s="57">
        <f>('Stavební rozpočet'!AU475+'Stavební rozpočet'!AU477+'Stavební rozpočet'!AU479+'Stavební rozpočet'!AU515+'Stavební rozpočet'!AU518+'Stavební rozpočet'!AU520+'Stavební rozpočet'!AU523+'Stavební rozpočet'!AU525+'Stavební rozpočet'!AU527+'Stavební rozpočet'!AU528)</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934</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37</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1108</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38</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rozpočet'!AI12:AI609,"SO100b",'Stavební rozpočet'!AB12:AB609)</f>
        <v>0</v>
      </c>
      <c r="D14" s="118" t="s">
        <v>913</v>
      </c>
      <c r="E14" s="119"/>
      <c r="F14" s="27">
        <f>'VORN objektu (SO100b)'!I15</f>
        <v>0</v>
      </c>
      <c r="G14" s="118" t="s">
        <v>137</v>
      </c>
      <c r="H14" s="119"/>
      <c r="I14" s="53">
        <f>'VORN objektu (SO100b)'!I21</f>
        <v>0</v>
      </c>
    </row>
    <row r="15" spans="1:9" ht="15" customHeight="1">
      <c r="A15" s="21" t="s">
        <v>878</v>
      </c>
      <c r="B15" s="29" t="s">
        <v>238</v>
      </c>
      <c r="C15" s="27">
        <f>SUMIF('Stavební rozpočet'!AI12:AI609,"SO100b",'Stavební rozpočet'!AC12:AC609)</f>
        <v>0</v>
      </c>
      <c r="D15" s="118" t="s">
        <v>132</v>
      </c>
      <c r="E15" s="119"/>
      <c r="F15" s="27">
        <f>'VORN objektu (SO100b)'!I16</f>
        <v>0</v>
      </c>
      <c r="G15" s="118" t="s">
        <v>1011</v>
      </c>
      <c r="H15" s="119"/>
      <c r="I15" s="53">
        <f>'VORN objektu (SO100b)'!I22</f>
        <v>0</v>
      </c>
    </row>
    <row r="16" spans="1:9" ht="15" customHeight="1">
      <c r="A16" s="32" t="s">
        <v>126</v>
      </c>
      <c r="B16" s="29" t="s">
        <v>318</v>
      </c>
      <c r="C16" s="27">
        <f>SUMIF('Stavební rozpočet'!AI12:AI609,"SO100b",'Stavební rozpočet'!AD12:AD609)</f>
        <v>0</v>
      </c>
      <c r="D16" s="118" t="s">
        <v>944</v>
      </c>
      <c r="E16" s="119"/>
      <c r="F16" s="27">
        <f>'VORN objektu (SO100b)'!I17</f>
        <v>0</v>
      </c>
      <c r="G16" s="118" t="s">
        <v>1215</v>
      </c>
      <c r="H16" s="119"/>
      <c r="I16" s="53">
        <f>'VORN objektu (SO100b)'!I23</f>
        <v>0</v>
      </c>
    </row>
    <row r="17" spans="1:9" ht="15" customHeight="1">
      <c r="A17" s="21" t="s">
        <v>878</v>
      </c>
      <c r="B17" s="29" t="s">
        <v>238</v>
      </c>
      <c r="C17" s="27">
        <f>SUMIF('Stavební rozpočet'!AI12:AI609,"SO100b",'Stavební rozpočet'!AE12:AE609)</f>
        <v>0</v>
      </c>
      <c r="D17" s="118" t="s">
        <v>878</v>
      </c>
      <c r="E17" s="119"/>
      <c r="F17" s="53" t="s">
        <v>878</v>
      </c>
      <c r="G17" s="118" t="s">
        <v>664</v>
      </c>
      <c r="H17" s="119"/>
      <c r="I17" s="53">
        <f>'VORN objektu (SO100b)'!I24</f>
        <v>0</v>
      </c>
    </row>
    <row r="18" spans="1:9" ht="15" customHeight="1">
      <c r="A18" s="32" t="s">
        <v>383</v>
      </c>
      <c r="B18" s="29" t="s">
        <v>318</v>
      </c>
      <c r="C18" s="27">
        <f>SUMIF('Stavební rozpočet'!AI12:AI609,"SO100b",'Stavební rozpočet'!AF12:AF609)</f>
        <v>0</v>
      </c>
      <c r="D18" s="118" t="s">
        <v>878</v>
      </c>
      <c r="E18" s="119"/>
      <c r="F18" s="53" t="s">
        <v>878</v>
      </c>
      <c r="G18" s="118" t="s">
        <v>825</v>
      </c>
      <c r="H18" s="119"/>
      <c r="I18" s="53">
        <f>'VORN objektu (SO100b)'!I25</f>
        <v>0</v>
      </c>
    </row>
    <row r="19" spans="1:9" ht="15" customHeight="1">
      <c r="A19" s="21" t="s">
        <v>878</v>
      </c>
      <c r="B19" s="29" t="s">
        <v>238</v>
      </c>
      <c r="C19" s="27">
        <f>SUMIF('Stavební rozpočet'!AI12:AI609,"SO100b",'Stavební rozpočet'!AG12:AG609)</f>
        <v>0</v>
      </c>
      <c r="D19" s="118" t="s">
        <v>878</v>
      </c>
      <c r="E19" s="119"/>
      <c r="F19" s="53" t="s">
        <v>878</v>
      </c>
      <c r="G19" s="118" t="s">
        <v>1251</v>
      </c>
      <c r="H19" s="119"/>
      <c r="I19" s="53">
        <f>'VORN objektu (SO100b)'!I26</f>
        <v>0</v>
      </c>
    </row>
    <row r="20" spans="1:9" ht="15" customHeight="1">
      <c r="A20" s="112" t="s">
        <v>95</v>
      </c>
      <c r="B20" s="113"/>
      <c r="C20" s="27">
        <f>SUMIF('Stavební rozpočet'!AI12:AI609,"SO100b",'Stavební rozpočet'!AH12:AH609)</f>
        <v>0</v>
      </c>
      <c r="D20" s="118" t="s">
        <v>878</v>
      </c>
      <c r="E20" s="119"/>
      <c r="F20" s="53" t="s">
        <v>878</v>
      </c>
      <c r="G20" s="118" t="s">
        <v>878</v>
      </c>
      <c r="H20" s="119"/>
      <c r="I20" s="53" t="s">
        <v>878</v>
      </c>
    </row>
    <row r="21" spans="1:9" ht="15" customHeight="1">
      <c r="A21" s="114" t="s">
        <v>1250</v>
      </c>
      <c r="B21" s="115"/>
      <c r="C21" s="27">
        <f>SUMIF('Stavební rozpočet'!AI12:AI609,"SO100b",'Stavební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23">
        <f>SUM(I14:I21)</f>
        <v>0</v>
      </c>
    </row>
    <row r="23" spans="7:9" ht="15" customHeight="1">
      <c r="G23" s="112" t="s">
        <v>875</v>
      </c>
      <c r="H23" s="113"/>
      <c r="I23" s="27">
        <f>'VORN objektu (SO100b)'!I36</f>
        <v>0</v>
      </c>
    </row>
    <row r="25" spans="1:3" ht="15" customHeight="1">
      <c r="A25" s="124" t="s">
        <v>498</v>
      </c>
      <c r="B25" s="125"/>
      <c r="C25" s="42">
        <f>('Stavební rozpočet'!AS532+'Stavební rozpočet'!AS537+'Stavební rozpočet'!AS542+'Stavební rozpočet'!AS547+'Stavební rozpočet'!AS557+'Stavební rozpočet'!AS561+'Stavební rozpočet'!AS565+'Stavební rozpočet'!AS570+'Stavební rozpočet'!AS571+'Stavební rozpočet'!AS575+'Stavební rozpočet'!AS577+'Stavební rozpočet'!AS580+'Stavební rozpočet'!AS582)</f>
        <v>0</v>
      </c>
    </row>
    <row r="26" spans="1:9" ht="15" customHeight="1">
      <c r="A26" s="126" t="s">
        <v>33</v>
      </c>
      <c r="B26" s="127"/>
      <c r="C26" s="57">
        <f>('Stavební rozpočet'!AT532+'Stavební rozpočet'!AT537+'Stavební rozpočet'!AT542+'Stavební rozpočet'!AT547+'Stavební rozpočet'!AT557+'Stavební rozpočet'!AT561+'Stavební rozpočet'!AT565+'Stavební rozpočet'!AT570+'Stavební rozpočet'!AT571+'Stavební rozpočet'!AT575+'Stavební rozpočet'!AT577+'Stavební rozpočet'!AT580+'Stavební rozpočet'!AT582)</f>
        <v>0</v>
      </c>
      <c r="D26" s="125" t="s">
        <v>275</v>
      </c>
      <c r="E26" s="125"/>
      <c r="F26" s="42">
        <f>ROUND(C26*(15/100),2)</f>
        <v>0</v>
      </c>
      <c r="G26" s="125" t="s">
        <v>184</v>
      </c>
      <c r="H26" s="125"/>
      <c r="I26" s="42">
        <f>SUM(C25:C27)</f>
        <v>0</v>
      </c>
    </row>
    <row r="27" spans="1:9" ht="15" customHeight="1">
      <c r="A27" s="126" t="s">
        <v>64</v>
      </c>
      <c r="B27" s="127"/>
      <c r="C27" s="57">
        <f>('Stavební rozpočet'!AU532+'Stavební rozpočet'!AU537+'Stavební rozpočet'!AU542+'Stavební rozpočet'!AU547+'Stavební rozpočet'!AU557+'Stavební rozpočet'!AU561+'Stavební rozpočet'!AU565+'Stavební rozpočet'!AU570+'Stavební rozpočet'!AU571+'Stavební rozpočet'!AU575+'Stavební rozpočet'!AU577+'Stavební rozpočet'!AU580+'Stavební rozpočet'!AU582)</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240</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38</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253</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19</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rozpočet'!AI12:AI609,"SO304.1",'Stavební rozpočet'!AB12:AB609)</f>
        <v>0</v>
      </c>
      <c r="D14" s="118" t="s">
        <v>913</v>
      </c>
      <c r="E14" s="119"/>
      <c r="F14" s="27">
        <f>'VORN objektu (SO304.1)'!I15</f>
        <v>0</v>
      </c>
      <c r="G14" s="118" t="s">
        <v>137</v>
      </c>
      <c r="H14" s="119"/>
      <c r="I14" s="53">
        <f>'VORN objektu (SO304.1)'!I21</f>
        <v>0</v>
      </c>
    </row>
    <row r="15" spans="1:9" ht="15" customHeight="1">
      <c r="A15" s="21" t="s">
        <v>878</v>
      </c>
      <c r="B15" s="29" t="s">
        <v>238</v>
      </c>
      <c r="C15" s="27">
        <f>SUMIF('Stavební rozpočet'!AI12:AI609,"SO304.1",'Stavební rozpočet'!AC12:AC609)</f>
        <v>0</v>
      </c>
      <c r="D15" s="118" t="s">
        <v>132</v>
      </c>
      <c r="E15" s="119"/>
      <c r="F15" s="27">
        <f>'VORN objektu (SO304.1)'!I16</f>
        <v>0</v>
      </c>
      <c r="G15" s="118" t="s">
        <v>1011</v>
      </c>
      <c r="H15" s="119"/>
      <c r="I15" s="53">
        <f>'VORN objektu (SO304.1)'!I22</f>
        <v>0</v>
      </c>
    </row>
    <row r="16" spans="1:9" ht="15" customHeight="1">
      <c r="A16" s="32" t="s">
        <v>126</v>
      </c>
      <c r="B16" s="29" t="s">
        <v>318</v>
      </c>
      <c r="C16" s="27">
        <f>SUMIF('Stavební rozpočet'!AI12:AI609,"SO304.1",'Stavební rozpočet'!AD12:AD609)</f>
        <v>0</v>
      </c>
      <c r="D16" s="118" t="s">
        <v>944</v>
      </c>
      <c r="E16" s="119"/>
      <c r="F16" s="27">
        <f>'VORN objektu (SO304.1)'!I17</f>
        <v>0</v>
      </c>
      <c r="G16" s="118" t="s">
        <v>1215</v>
      </c>
      <c r="H16" s="119"/>
      <c r="I16" s="53">
        <f>'VORN objektu (SO304.1)'!I23</f>
        <v>0</v>
      </c>
    </row>
    <row r="17" spans="1:9" ht="15" customHeight="1">
      <c r="A17" s="21" t="s">
        <v>878</v>
      </c>
      <c r="B17" s="29" t="s">
        <v>238</v>
      </c>
      <c r="C17" s="27">
        <f>SUMIF('Stavební rozpočet'!AI12:AI609,"SO304.1",'Stavební rozpočet'!AE12:AE609)</f>
        <v>0</v>
      </c>
      <c r="D17" s="118" t="s">
        <v>878</v>
      </c>
      <c r="E17" s="119"/>
      <c r="F17" s="53" t="s">
        <v>878</v>
      </c>
      <c r="G17" s="118" t="s">
        <v>664</v>
      </c>
      <c r="H17" s="119"/>
      <c r="I17" s="53">
        <f>'VORN objektu (SO304.1)'!I24</f>
        <v>0</v>
      </c>
    </row>
    <row r="18" spans="1:9" ht="15" customHeight="1">
      <c r="A18" s="32" t="s">
        <v>383</v>
      </c>
      <c r="B18" s="29" t="s">
        <v>318</v>
      </c>
      <c r="C18" s="27">
        <f>SUMIF('Stavební rozpočet'!AI12:AI609,"SO304.1",'Stavební rozpočet'!AF12:AF609)</f>
        <v>0</v>
      </c>
      <c r="D18" s="118" t="s">
        <v>878</v>
      </c>
      <c r="E18" s="119"/>
      <c r="F18" s="53" t="s">
        <v>878</v>
      </c>
      <c r="G18" s="118" t="s">
        <v>825</v>
      </c>
      <c r="H18" s="119"/>
      <c r="I18" s="53">
        <f>'VORN objektu (SO304.1)'!I25</f>
        <v>0</v>
      </c>
    </row>
    <row r="19" spans="1:9" ht="15" customHeight="1">
      <c r="A19" s="21" t="s">
        <v>878</v>
      </c>
      <c r="B19" s="29" t="s">
        <v>238</v>
      </c>
      <c r="C19" s="27">
        <f>SUMIF('Stavební rozpočet'!AI12:AI609,"SO304.1",'Stavební rozpočet'!AG12:AG609)</f>
        <v>0</v>
      </c>
      <c r="D19" s="118" t="s">
        <v>878</v>
      </c>
      <c r="E19" s="119"/>
      <c r="F19" s="53" t="s">
        <v>878</v>
      </c>
      <c r="G19" s="118" t="s">
        <v>1251</v>
      </c>
      <c r="H19" s="119"/>
      <c r="I19" s="53">
        <f>'VORN objektu (SO304.1)'!I26</f>
        <v>0</v>
      </c>
    </row>
    <row r="20" spans="1:9" ht="15" customHeight="1">
      <c r="A20" s="112" t="s">
        <v>95</v>
      </c>
      <c r="B20" s="113"/>
      <c r="C20" s="27">
        <f>SUMIF('Stavební rozpočet'!AI12:AI609,"SO304.1",'Stavební rozpočet'!AH12:AH609)</f>
        <v>0</v>
      </c>
      <c r="D20" s="118" t="s">
        <v>878</v>
      </c>
      <c r="E20" s="119"/>
      <c r="F20" s="53" t="s">
        <v>878</v>
      </c>
      <c r="G20" s="118" t="s">
        <v>878</v>
      </c>
      <c r="H20" s="119"/>
      <c r="I20" s="53" t="s">
        <v>878</v>
      </c>
    </row>
    <row r="21" spans="1:9" ht="15" customHeight="1">
      <c r="A21" s="114" t="s">
        <v>1250</v>
      </c>
      <c r="B21" s="115"/>
      <c r="C21" s="27">
        <f>SUMIF('Stavební rozpočet'!AI12:AI609,"SO304.1",'Stavební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38" t="s">
        <v>658</v>
      </c>
    </row>
    <row r="23" spans="7:9" ht="15" customHeight="1">
      <c r="G23" s="112" t="s">
        <v>875</v>
      </c>
      <c r="H23" s="113"/>
      <c r="I23" s="27">
        <f>'VORN objektu (SO304.1)'!I36</f>
        <v>0</v>
      </c>
    </row>
    <row r="25" spans="1:3" ht="15" customHeight="1">
      <c r="A25" s="124" t="s">
        <v>498</v>
      </c>
      <c r="B25" s="125"/>
      <c r="C25" s="42">
        <f>('Stavební rozpočet'!AS586+'Stavební rozpočet'!AS590+'Stavební rozpočet'!AS592+'Stavební rozpočet'!AS595+'Stavební rozpočet'!AS598)</f>
        <v>0</v>
      </c>
    </row>
    <row r="26" spans="1:9" ht="15" customHeight="1">
      <c r="A26" s="126" t="s">
        <v>33</v>
      </c>
      <c r="B26" s="127"/>
      <c r="C26" s="57">
        <f>('Stavební rozpočet'!AT586+'Stavební rozpočet'!AT590+'Stavební rozpočet'!AT592+'Stavební rozpočet'!AT595+'Stavební rozpočet'!AT598)</f>
        <v>0</v>
      </c>
      <c r="D26" s="125" t="s">
        <v>275</v>
      </c>
      <c r="E26" s="125"/>
      <c r="F26" s="42">
        <f>ROUND(C26*(15/100),2)</f>
        <v>0</v>
      </c>
      <c r="G26" s="125" t="s">
        <v>184</v>
      </c>
      <c r="H26" s="125"/>
      <c r="I26" s="42">
        <f>SUM(C25:C27)</f>
        <v>0</v>
      </c>
    </row>
    <row r="27" spans="1:9" ht="15" customHeight="1">
      <c r="A27" s="126" t="s">
        <v>64</v>
      </c>
      <c r="B27" s="127"/>
      <c r="C27" s="57">
        <f>('Stavební rozpočet'!AU586+'Stavební rozpočet'!AU590+'Stavební rozpočet'!AU592+'Stavební rozpočet'!AU595+'Stavební rozpočet'!AU598)</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120</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19</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I138"/>
  <sheetViews>
    <sheetView showOutlineSymbols="0" zoomScalePageLayoutView="0" workbookViewId="0" topLeftCell="A1">
      <pane ySplit="11" topLeftCell="A120" activePane="bottomLeft" state="frozen"/>
      <selection pane="topLeft" activeCell="C137" sqref="C137:D137"/>
      <selection pane="bottomLeft" activeCell="A1" sqref="A1:G1"/>
    </sheetView>
  </sheetViews>
  <sheetFormatPr defaultColWidth="14.16015625" defaultRowHeight="15" customHeight="1"/>
  <cols>
    <col min="1" max="2" width="10" style="0" customWidth="1"/>
    <col min="3" max="3" width="83.33203125" style="0" customWidth="1"/>
    <col min="4" max="4" width="14.16015625" style="0" customWidth="1"/>
    <col min="5" max="7" width="32.5" style="0" customWidth="1"/>
    <col min="8" max="9" width="0" style="0" hidden="1" customWidth="1"/>
  </cols>
  <sheetData>
    <row r="1" spans="1:7" ht="54.75" customHeight="1">
      <c r="A1" s="72" t="s">
        <v>1044</v>
      </c>
      <c r="B1" s="72"/>
      <c r="C1" s="72"/>
      <c r="D1" s="72"/>
      <c r="E1" s="72"/>
      <c r="F1" s="72"/>
      <c r="G1" s="72"/>
    </row>
    <row r="2" spans="1:7" ht="15" customHeight="1">
      <c r="A2" s="73" t="s">
        <v>93</v>
      </c>
      <c r="B2" s="74"/>
      <c r="C2" s="80" t="str">
        <f>'Stavební rozpočet'!C2</f>
        <v>Stavební úprava ul. Sokolovská</v>
      </c>
      <c r="D2" s="74" t="s">
        <v>12</v>
      </c>
      <c r="E2" s="74" t="s">
        <v>1075</v>
      </c>
      <c r="F2" s="78" t="s">
        <v>1066</v>
      </c>
      <c r="G2" s="101" t="str">
        <f>'Stavební rozpočet'!J2</f>
        <v> </v>
      </c>
    </row>
    <row r="3" spans="1:7" ht="15" customHeight="1">
      <c r="A3" s="75"/>
      <c r="B3" s="76"/>
      <c r="C3" s="82"/>
      <c r="D3" s="76"/>
      <c r="E3" s="76"/>
      <c r="F3" s="76"/>
      <c r="G3" s="84"/>
    </row>
    <row r="4" spans="1:7" ht="15" customHeight="1">
      <c r="A4" s="77" t="s">
        <v>689</v>
      </c>
      <c r="B4" s="76"/>
      <c r="C4" s="79" t="str">
        <f>'Stavební rozpočet'!C4</f>
        <v>Stavební úprava ulice včetně inž. sítí</v>
      </c>
      <c r="D4" s="76" t="s">
        <v>1120</v>
      </c>
      <c r="E4" s="76" t="s">
        <v>243</v>
      </c>
      <c r="F4" s="79" t="s">
        <v>874</v>
      </c>
      <c r="G4" s="102" t="str">
        <f>'Stavební rozpočet'!J4</f>
        <v>Bau-projekt spol s.r.o. Jan Hyliš</v>
      </c>
    </row>
    <row r="5" spans="1:7" ht="15" customHeight="1">
      <c r="A5" s="75"/>
      <c r="B5" s="76"/>
      <c r="C5" s="76"/>
      <c r="D5" s="76"/>
      <c r="E5" s="76"/>
      <c r="F5" s="76"/>
      <c r="G5" s="84"/>
    </row>
    <row r="6" spans="1:7" ht="15" customHeight="1">
      <c r="A6" s="77" t="s">
        <v>117</v>
      </c>
      <c r="B6" s="76"/>
      <c r="C6" s="79" t="str">
        <f>'Stavební rozpočet'!C6</f>
        <v>Milevsko</v>
      </c>
      <c r="D6" s="76" t="s">
        <v>400</v>
      </c>
      <c r="E6" s="76" t="s">
        <v>732</v>
      </c>
      <c r="F6" s="79" t="s">
        <v>1103</v>
      </c>
      <c r="G6" s="102" t="str">
        <f>'Stavební rozpočet'!J6</f>
        <v> </v>
      </c>
    </row>
    <row r="7" spans="1:7" ht="15" customHeight="1">
      <c r="A7" s="75"/>
      <c r="B7" s="76"/>
      <c r="C7" s="76"/>
      <c r="D7" s="76"/>
      <c r="E7" s="76"/>
      <c r="F7" s="76"/>
      <c r="G7" s="84"/>
    </row>
    <row r="8" spans="1:7" ht="15" customHeight="1">
      <c r="A8" s="77" t="s">
        <v>843</v>
      </c>
      <c r="B8" s="76"/>
      <c r="C8" s="79" t="str">
        <f>'Stavební rozpočet'!J8</f>
        <v> </v>
      </c>
      <c r="D8" s="76" t="s">
        <v>707</v>
      </c>
      <c r="E8" s="76" t="s">
        <v>1342</v>
      </c>
      <c r="F8" s="76" t="s">
        <v>707</v>
      </c>
      <c r="G8" s="102" t="str">
        <f>'Stavební rozpočet'!G8</f>
        <v>01.06.2023</v>
      </c>
    </row>
    <row r="9" spans="1:7" ht="15" customHeight="1">
      <c r="A9" s="75"/>
      <c r="B9" s="76"/>
      <c r="C9" s="76"/>
      <c r="D9" s="96"/>
      <c r="E9" s="76"/>
      <c r="F9" s="76"/>
      <c r="G9" s="84"/>
    </row>
    <row r="10" spans="1:7" ht="15" customHeight="1">
      <c r="A10" s="15" t="s">
        <v>946</v>
      </c>
      <c r="B10" s="6" t="s">
        <v>406</v>
      </c>
      <c r="C10" s="34" t="s">
        <v>1370</v>
      </c>
      <c r="E10" s="26" t="s">
        <v>620</v>
      </c>
      <c r="F10" s="1" t="s">
        <v>1428</v>
      </c>
      <c r="G10" s="1" t="s">
        <v>80</v>
      </c>
    </row>
    <row r="11" spans="1:9" ht="15" customHeight="1">
      <c r="A11" s="19" t="s">
        <v>1302</v>
      </c>
      <c r="B11" s="59" t="s">
        <v>878</v>
      </c>
      <c r="C11" s="76" t="s">
        <v>1057</v>
      </c>
      <c r="D11" s="76"/>
      <c r="E11" s="40">
        <f>'Stavební rozpočet'!J12</f>
        <v>0</v>
      </c>
      <c r="F11" s="40">
        <f>'Stavební rozpočet'!K12</f>
        <v>0</v>
      </c>
      <c r="G11" s="40">
        <f>'Stavební rozpočet'!L12</f>
        <v>0</v>
      </c>
      <c r="H11" s="17" t="s">
        <v>544</v>
      </c>
      <c r="I11" s="40">
        <f aca="true" t="shared" si="0" ref="I11:I42">IF(H11="F",0,G11)</f>
        <v>0</v>
      </c>
    </row>
    <row r="12" spans="1:9" ht="15" customHeight="1">
      <c r="A12" s="19" t="s">
        <v>1302</v>
      </c>
      <c r="B12" s="59" t="s">
        <v>368</v>
      </c>
      <c r="C12" s="76" t="s">
        <v>13</v>
      </c>
      <c r="D12" s="76"/>
      <c r="E12" s="40">
        <f>'Stavební rozpočet'!J13</f>
        <v>0</v>
      </c>
      <c r="F12" s="40">
        <f>'Stavební rozpočet'!K13</f>
        <v>0</v>
      </c>
      <c r="G12" s="40">
        <f>'Stavební rozpočet'!L13</f>
        <v>0</v>
      </c>
      <c r="H12" s="17" t="s">
        <v>1225</v>
      </c>
      <c r="I12" s="40">
        <f t="shared" si="0"/>
        <v>0</v>
      </c>
    </row>
    <row r="13" spans="1:9" ht="15" customHeight="1">
      <c r="A13" s="19" t="s">
        <v>1302</v>
      </c>
      <c r="B13" s="59" t="s">
        <v>123</v>
      </c>
      <c r="C13" s="76" t="s">
        <v>1052</v>
      </c>
      <c r="D13" s="76"/>
      <c r="E13" s="40">
        <f>'Stavební rozpočet'!J16</f>
        <v>0</v>
      </c>
      <c r="F13" s="40">
        <f>'Stavební rozpočet'!K16</f>
        <v>0</v>
      </c>
      <c r="G13" s="40">
        <f>'Stavební rozpočet'!L16</f>
        <v>0</v>
      </c>
      <c r="H13" s="17" t="s">
        <v>1225</v>
      </c>
      <c r="I13" s="40">
        <f t="shared" si="0"/>
        <v>0</v>
      </c>
    </row>
    <row r="14" spans="1:9" ht="15" customHeight="1">
      <c r="A14" s="19" t="s">
        <v>1302</v>
      </c>
      <c r="B14" s="59" t="s">
        <v>885</v>
      </c>
      <c r="C14" s="76" t="s">
        <v>179</v>
      </c>
      <c r="D14" s="76"/>
      <c r="E14" s="40">
        <f>'Stavební rozpočet'!J18</f>
        <v>0</v>
      </c>
      <c r="F14" s="40">
        <f>'Stavební rozpočet'!K18</f>
        <v>0</v>
      </c>
      <c r="G14" s="40">
        <f>'Stavební rozpočet'!L18</f>
        <v>0</v>
      </c>
      <c r="H14" s="17" t="s">
        <v>1225</v>
      </c>
      <c r="I14" s="40">
        <f t="shared" si="0"/>
        <v>0</v>
      </c>
    </row>
    <row r="15" spans="1:9" ht="15" customHeight="1">
      <c r="A15" s="19" t="s">
        <v>1302</v>
      </c>
      <c r="B15" s="59" t="s">
        <v>932</v>
      </c>
      <c r="C15" s="76" t="s">
        <v>143</v>
      </c>
      <c r="D15" s="76"/>
      <c r="E15" s="40">
        <f>'Stavební rozpočet'!J22</f>
        <v>0</v>
      </c>
      <c r="F15" s="40">
        <f>'Stavební rozpočet'!K22</f>
        <v>0</v>
      </c>
      <c r="G15" s="40">
        <f>'Stavební rozpočet'!L22</f>
        <v>0</v>
      </c>
      <c r="H15" s="17" t="s">
        <v>1225</v>
      </c>
      <c r="I15" s="40">
        <f t="shared" si="0"/>
        <v>0</v>
      </c>
    </row>
    <row r="16" spans="1:9" ht="15" customHeight="1">
      <c r="A16" s="19" t="s">
        <v>1302</v>
      </c>
      <c r="B16" s="59" t="s">
        <v>197</v>
      </c>
      <c r="C16" s="76" t="s">
        <v>972</v>
      </c>
      <c r="D16" s="76"/>
      <c r="E16" s="40">
        <f>'Stavební rozpočet'!J25</f>
        <v>0</v>
      </c>
      <c r="F16" s="40">
        <f>'Stavební rozpočet'!K25</f>
        <v>0</v>
      </c>
      <c r="G16" s="40">
        <f>'Stavební rozpočet'!L25</f>
        <v>0</v>
      </c>
      <c r="H16" s="17" t="s">
        <v>1225</v>
      </c>
      <c r="I16" s="40">
        <f t="shared" si="0"/>
        <v>0</v>
      </c>
    </row>
    <row r="17" spans="1:9" ht="15" customHeight="1">
      <c r="A17" s="19" t="s">
        <v>1302</v>
      </c>
      <c r="B17" s="59" t="s">
        <v>744</v>
      </c>
      <c r="C17" s="76" t="s">
        <v>790</v>
      </c>
      <c r="D17" s="76"/>
      <c r="E17" s="40">
        <f>'Stavební rozpočet'!J32</f>
        <v>0</v>
      </c>
      <c r="F17" s="40">
        <f>'Stavební rozpočet'!K32</f>
        <v>0</v>
      </c>
      <c r="G17" s="40">
        <f>'Stavební rozpočet'!L32</f>
        <v>0</v>
      </c>
      <c r="H17" s="17" t="s">
        <v>1225</v>
      </c>
      <c r="I17" s="40">
        <f t="shared" si="0"/>
        <v>0</v>
      </c>
    </row>
    <row r="18" spans="1:9" ht="15" customHeight="1">
      <c r="A18" s="19" t="s">
        <v>1302</v>
      </c>
      <c r="B18" s="59" t="s">
        <v>1119</v>
      </c>
      <c r="C18" s="76" t="s">
        <v>365</v>
      </c>
      <c r="D18" s="76"/>
      <c r="E18" s="40">
        <f>'Stavební rozpočet'!J36</f>
        <v>0</v>
      </c>
      <c r="F18" s="40">
        <f>'Stavební rozpočet'!K36</f>
        <v>0</v>
      </c>
      <c r="G18" s="40">
        <f>'Stavební rozpočet'!L36</f>
        <v>0</v>
      </c>
      <c r="H18" s="17" t="s">
        <v>1225</v>
      </c>
      <c r="I18" s="40">
        <f t="shared" si="0"/>
        <v>0</v>
      </c>
    </row>
    <row r="19" spans="1:9" ht="15" customHeight="1">
      <c r="A19" s="19" t="s">
        <v>1302</v>
      </c>
      <c r="B19" s="59" t="s">
        <v>878</v>
      </c>
      <c r="C19" s="76" t="s">
        <v>95</v>
      </c>
      <c r="D19" s="76"/>
      <c r="E19" s="40">
        <f>'Stavební rozpočet'!J44</f>
        <v>0</v>
      </c>
      <c r="F19" s="40">
        <f>'Stavební rozpočet'!K44</f>
        <v>0</v>
      </c>
      <c r="G19" s="40">
        <f>'Stavební rozpočet'!L44</f>
        <v>0</v>
      </c>
      <c r="H19" s="17" t="s">
        <v>1225</v>
      </c>
      <c r="I19" s="40">
        <f t="shared" si="0"/>
        <v>0</v>
      </c>
    </row>
    <row r="20" spans="1:9" ht="15" customHeight="1">
      <c r="A20" s="19" t="s">
        <v>1302</v>
      </c>
      <c r="B20" s="59" t="s">
        <v>878</v>
      </c>
      <c r="C20" s="76" t="s">
        <v>752</v>
      </c>
      <c r="D20" s="76"/>
      <c r="E20" s="40">
        <f>'Stavební rozpočet'!J57</f>
        <v>0</v>
      </c>
      <c r="F20" s="40">
        <f>'Stavební rozpočet'!K57</f>
        <v>0</v>
      </c>
      <c r="G20" s="40">
        <f>'Stavební rozpočet'!L57</f>
        <v>0</v>
      </c>
      <c r="H20" s="17" t="s">
        <v>544</v>
      </c>
      <c r="I20" s="40">
        <f t="shared" si="0"/>
        <v>0</v>
      </c>
    </row>
    <row r="21" spans="1:9" ht="15" customHeight="1">
      <c r="A21" s="19" t="s">
        <v>1302</v>
      </c>
      <c r="B21" s="59" t="s">
        <v>940</v>
      </c>
      <c r="C21" s="76" t="s">
        <v>581</v>
      </c>
      <c r="D21" s="76"/>
      <c r="E21" s="40">
        <f>'Stavební rozpočet'!J58</f>
        <v>0</v>
      </c>
      <c r="F21" s="40">
        <f>'Stavební rozpočet'!K58</f>
        <v>0</v>
      </c>
      <c r="G21" s="40">
        <f>'Stavební rozpočet'!L58</f>
        <v>0</v>
      </c>
      <c r="H21" s="17" t="s">
        <v>1225</v>
      </c>
      <c r="I21" s="40">
        <f t="shared" si="0"/>
        <v>0</v>
      </c>
    </row>
    <row r="22" spans="1:9" ht="15" customHeight="1">
      <c r="A22" s="19" t="s">
        <v>1302</v>
      </c>
      <c r="B22" s="59" t="s">
        <v>67</v>
      </c>
      <c r="C22" s="76" t="s">
        <v>137</v>
      </c>
      <c r="D22" s="76"/>
      <c r="E22" s="40">
        <f>'Stavební rozpočet'!J60</f>
        <v>0</v>
      </c>
      <c r="F22" s="40">
        <f>'Stavební rozpočet'!K60</f>
        <v>0</v>
      </c>
      <c r="G22" s="40">
        <f>'Stavební rozpočet'!L60</f>
        <v>0</v>
      </c>
      <c r="H22" s="17" t="s">
        <v>1225</v>
      </c>
      <c r="I22" s="40">
        <f t="shared" si="0"/>
        <v>0</v>
      </c>
    </row>
    <row r="23" spans="1:9" ht="15" customHeight="1">
      <c r="A23" s="19" t="s">
        <v>1302</v>
      </c>
      <c r="B23" s="59" t="s">
        <v>408</v>
      </c>
      <c r="C23" s="76" t="s">
        <v>1045</v>
      </c>
      <c r="D23" s="76"/>
      <c r="E23" s="40">
        <f>'Stavební rozpočet'!J62</f>
        <v>0</v>
      </c>
      <c r="F23" s="40">
        <f>'Stavební rozpočet'!K62</f>
        <v>0</v>
      </c>
      <c r="G23" s="40">
        <f>'Stavební rozpočet'!L62</f>
        <v>0</v>
      </c>
      <c r="H23" s="17" t="s">
        <v>1225</v>
      </c>
      <c r="I23" s="40">
        <f t="shared" si="0"/>
        <v>0</v>
      </c>
    </row>
    <row r="24" spans="1:9" ht="15" customHeight="1">
      <c r="A24" s="19" t="s">
        <v>1302</v>
      </c>
      <c r="B24" s="59" t="s">
        <v>935</v>
      </c>
      <c r="C24" s="76" t="s">
        <v>664</v>
      </c>
      <c r="D24" s="76"/>
      <c r="E24" s="40">
        <f>'Stavební rozpočet'!J67</f>
        <v>0</v>
      </c>
      <c r="F24" s="40">
        <f>'Stavební rozpočet'!K67</f>
        <v>0</v>
      </c>
      <c r="G24" s="40">
        <f>'Stavební rozpočet'!L67</f>
        <v>0</v>
      </c>
      <c r="H24" s="17" t="s">
        <v>1225</v>
      </c>
      <c r="I24" s="40">
        <f t="shared" si="0"/>
        <v>0</v>
      </c>
    </row>
    <row r="25" spans="1:9" ht="15" customHeight="1">
      <c r="A25" s="19" t="s">
        <v>1420</v>
      </c>
      <c r="B25" s="59" t="s">
        <v>878</v>
      </c>
      <c r="C25" s="76" t="s">
        <v>1156</v>
      </c>
      <c r="D25" s="76"/>
      <c r="E25" s="40">
        <f>'Stavební rozpočet'!J69</f>
        <v>0</v>
      </c>
      <c r="F25" s="40">
        <f>'Stavební rozpočet'!K69</f>
        <v>0</v>
      </c>
      <c r="G25" s="40">
        <f>'Stavební rozpočet'!L69</f>
        <v>0</v>
      </c>
      <c r="H25" s="17" t="s">
        <v>544</v>
      </c>
      <c r="I25" s="40">
        <f t="shared" si="0"/>
        <v>0</v>
      </c>
    </row>
    <row r="26" spans="1:9" ht="15" customHeight="1">
      <c r="A26" s="19" t="s">
        <v>1420</v>
      </c>
      <c r="B26" s="59" t="s">
        <v>1054</v>
      </c>
      <c r="C26" s="76" t="s">
        <v>690</v>
      </c>
      <c r="D26" s="76"/>
      <c r="E26" s="40">
        <f>'Stavební rozpočet'!J70</f>
        <v>0</v>
      </c>
      <c r="F26" s="40">
        <f>'Stavební rozpočet'!K70</f>
        <v>0</v>
      </c>
      <c r="G26" s="40">
        <f>'Stavební rozpočet'!L70</f>
        <v>0</v>
      </c>
      <c r="H26" s="17" t="s">
        <v>1225</v>
      </c>
      <c r="I26" s="40">
        <f t="shared" si="0"/>
        <v>0</v>
      </c>
    </row>
    <row r="27" spans="1:9" ht="15" customHeight="1">
      <c r="A27" s="19" t="s">
        <v>1420</v>
      </c>
      <c r="B27" s="59" t="s">
        <v>1015</v>
      </c>
      <c r="C27" s="76" t="s">
        <v>1278</v>
      </c>
      <c r="D27" s="76"/>
      <c r="E27" s="40">
        <f>'Stavební rozpočet'!J72</f>
        <v>0</v>
      </c>
      <c r="F27" s="40">
        <f>'Stavební rozpočet'!K72</f>
        <v>0</v>
      </c>
      <c r="G27" s="40">
        <f>'Stavební rozpočet'!L72</f>
        <v>0</v>
      </c>
      <c r="H27" s="17" t="s">
        <v>1225</v>
      </c>
      <c r="I27" s="40">
        <f t="shared" si="0"/>
        <v>0</v>
      </c>
    </row>
    <row r="28" spans="1:9" ht="15" customHeight="1">
      <c r="A28" s="19" t="s">
        <v>1420</v>
      </c>
      <c r="B28" s="59" t="s">
        <v>897</v>
      </c>
      <c r="C28" s="76" t="s">
        <v>425</v>
      </c>
      <c r="D28" s="76"/>
      <c r="E28" s="40">
        <f>'Stavební rozpočet'!J74</f>
        <v>0</v>
      </c>
      <c r="F28" s="40">
        <f>'Stavební rozpočet'!K74</f>
        <v>0</v>
      </c>
      <c r="G28" s="40">
        <f>'Stavební rozpočet'!L74</f>
        <v>0</v>
      </c>
      <c r="H28" s="17" t="s">
        <v>1225</v>
      </c>
      <c r="I28" s="40">
        <f t="shared" si="0"/>
        <v>0</v>
      </c>
    </row>
    <row r="29" spans="1:9" ht="15" customHeight="1">
      <c r="A29" s="19" t="s">
        <v>1420</v>
      </c>
      <c r="B29" s="59" t="s">
        <v>1373</v>
      </c>
      <c r="C29" s="76" t="s">
        <v>695</v>
      </c>
      <c r="D29" s="76"/>
      <c r="E29" s="40">
        <f>'Stavební rozpočet'!J77</f>
        <v>0</v>
      </c>
      <c r="F29" s="40">
        <f>'Stavební rozpočet'!K77</f>
        <v>0</v>
      </c>
      <c r="G29" s="40">
        <f>'Stavební rozpočet'!L77</f>
        <v>0</v>
      </c>
      <c r="H29" s="17" t="s">
        <v>1225</v>
      </c>
      <c r="I29" s="40">
        <f t="shared" si="0"/>
        <v>0</v>
      </c>
    </row>
    <row r="30" spans="1:9" ht="15" customHeight="1">
      <c r="A30" s="19" t="s">
        <v>1420</v>
      </c>
      <c r="B30" s="59" t="s">
        <v>801</v>
      </c>
      <c r="C30" s="76" t="s">
        <v>1165</v>
      </c>
      <c r="D30" s="76"/>
      <c r="E30" s="40">
        <f>'Stavební rozpočet'!J79</f>
        <v>0</v>
      </c>
      <c r="F30" s="40">
        <f>'Stavební rozpočet'!K79</f>
        <v>0</v>
      </c>
      <c r="G30" s="40">
        <f>'Stavební rozpočet'!L79</f>
        <v>0</v>
      </c>
      <c r="H30" s="17" t="s">
        <v>1225</v>
      </c>
      <c r="I30" s="40">
        <f t="shared" si="0"/>
        <v>0</v>
      </c>
    </row>
    <row r="31" spans="1:9" ht="15" customHeight="1">
      <c r="A31" s="19" t="s">
        <v>1420</v>
      </c>
      <c r="B31" s="59" t="s">
        <v>1203</v>
      </c>
      <c r="C31" s="76" t="s">
        <v>846</v>
      </c>
      <c r="D31" s="76"/>
      <c r="E31" s="40">
        <f>'Stavební rozpočet'!J82</f>
        <v>0</v>
      </c>
      <c r="F31" s="40">
        <f>'Stavební rozpočet'!K82</f>
        <v>0</v>
      </c>
      <c r="G31" s="40">
        <f>'Stavební rozpočet'!L82</f>
        <v>0</v>
      </c>
      <c r="H31" s="17" t="s">
        <v>1225</v>
      </c>
      <c r="I31" s="40">
        <f t="shared" si="0"/>
        <v>0</v>
      </c>
    </row>
    <row r="32" spans="1:9" ht="15" customHeight="1">
      <c r="A32" s="19" t="s">
        <v>1420</v>
      </c>
      <c r="B32" s="59" t="s">
        <v>441</v>
      </c>
      <c r="C32" s="76" t="s">
        <v>646</v>
      </c>
      <c r="D32" s="76"/>
      <c r="E32" s="40">
        <f>'Stavební rozpočet'!J87</f>
        <v>0</v>
      </c>
      <c r="F32" s="40">
        <f>'Stavební rozpočet'!K87</f>
        <v>0</v>
      </c>
      <c r="G32" s="40">
        <f>'Stavební rozpočet'!L87</f>
        <v>0</v>
      </c>
      <c r="H32" s="17" t="s">
        <v>1225</v>
      </c>
      <c r="I32" s="40">
        <f t="shared" si="0"/>
        <v>0</v>
      </c>
    </row>
    <row r="33" spans="1:9" ht="15" customHeight="1">
      <c r="A33" s="19" t="s">
        <v>1420</v>
      </c>
      <c r="B33" s="59" t="s">
        <v>407</v>
      </c>
      <c r="C33" s="76" t="s">
        <v>528</v>
      </c>
      <c r="D33" s="76"/>
      <c r="E33" s="40">
        <f>'Stavební rozpočet'!J90</f>
        <v>0</v>
      </c>
      <c r="F33" s="40">
        <f>'Stavební rozpočet'!K90</f>
        <v>0</v>
      </c>
      <c r="G33" s="40">
        <f>'Stavební rozpočet'!L90</f>
        <v>0</v>
      </c>
      <c r="H33" s="17" t="s">
        <v>1225</v>
      </c>
      <c r="I33" s="40">
        <f t="shared" si="0"/>
        <v>0</v>
      </c>
    </row>
    <row r="34" spans="1:9" ht="15" customHeight="1">
      <c r="A34" s="19" t="s">
        <v>110</v>
      </c>
      <c r="B34" s="59" t="s">
        <v>878</v>
      </c>
      <c r="C34" s="76" t="s">
        <v>989</v>
      </c>
      <c r="D34" s="76"/>
      <c r="E34" s="40">
        <f>'Stavební rozpočet'!J92</f>
        <v>0</v>
      </c>
      <c r="F34" s="40">
        <f>'Stavební rozpočet'!K92</f>
        <v>0</v>
      </c>
      <c r="G34" s="40">
        <f>'Stavební rozpočet'!L92</f>
        <v>0</v>
      </c>
      <c r="H34" s="17" t="s">
        <v>544</v>
      </c>
      <c r="I34" s="40">
        <f t="shared" si="0"/>
        <v>0</v>
      </c>
    </row>
    <row r="35" spans="1:9" ht="15" customHeight="1">
      <c r="A35" s="19" t="s">
        <v>110</v>
      </c>
      <c r="B35" s="59" t="s">
        <v>1054</v>
      </c>
      <c r="C35" s="76" t="s">
        <v>690</v>
      </c>
      <c r="D35" s="76"/>
      <c r="E35" s="40">
        <f>'Stavební rozpočet'!J93</f>
        <v>0</v>
      </c>
      <c r="F35" s="40">
        <f>'Stavební rozpočet'!K93</f>
        <v>0</v>
      </c>
      <c r="G35" s="40">
        <f>'Stavební rozpočet'!L93</f>
        <v>0</v>
      </c>
      <c r="H35" s="17" t="s">
        <v>1225</v>
      </c>
      <c r="I35" s="40">
        <f t="shared" si="0"/>
        <v>0</v>
      </c>
    </row>
    <row r="36" spans="1:9" ht="15" customHeight="1">
      <c r="A36" s="19" t="s">
        <v>110</v>
      </c>
      <c r="B36" s="59" t="s">
        <v>938</v>
      </c>
      <c r="C36" s="76" t="s">
        <v>314</v>
      </c>
      <c r="D36" s="76"/>
      <c r="E36" s="40">
        <f>'Stavební rozpočet'!J103</f>
        <v>0</v>
      </c>
      <c r="F36" s="40">
        <f>'Stavební rozpočet'!K103</f>
        <v>0</v>
      </c>
      <c r="G36" s="40">
        <f>'Stavební rozpočet'!L103</f>
        <v>0</v>
      </c>
      <c r="H36" s="17" t="s">
        <v>1225</v>
      </c>
      <c r="I36" s="40">
        <f t="shared" si="0"/>
        <v>0</v>
      </c>
    </row>
    <row r="37" spans="1:9" ht="15" customHeight="1">
      <c r="A37" s="19" t="s">
        <v>110</v>
      </c>
      <c r="B37" s="59" t="s">
        <v>368</v>
      </c>
      <c r="C37" s="76" t="s">
        <v>13</v>
      </c>
      <c r="D37" s="76"/>
      <c r="E37" s="40">
        <f>'Stavební rozpočet'!J105</f>
        <v>0</v>
      </c>
      <c r="F37" s="40">
        <f>'Stavební rozpočet'!K105</f>
        <v>0</v>
      </c>
      <c r="G37" s="40">
        <f>'Stavební rozpočet'!L105</f>
        <v>0</v>
      </c>
      <c r="H37" s="17" t="s">
        <v>1225</v>
      </c>
      <c r="I37" s="40">
        <f t="shared" si="0"/>
        <v>0</v>
      </c>
    </row>
    <row r="38" spans="1:9" ht="15" customHeight="1">
      <c r="A38" s="19" t="s">
        <v>110</v>
      </c>
      <c r="B38" s="59" t="s">
        <v>751</v>
      </c>
      <c r="C38" s="76" t="s">
        <v>729</v>
      </c>
      <c r="D38" s="76"/>
      <c r="E38" s="40">
        <f>'Stavební rozpočet'!J110</f>
        <v>0</v>
      </c>
      <c r="F38" s="40">
        <f>'Stavební rozpočet'!K110</f>
        <v>0</v>
      </c>
      <c r="G38" s="40">
        <f>'Stavební rozpočet'!L110</f>
        <v>0</v>
      </c>
      <c r="H38" s="17" t="s">
        <v>1225</v>
      </c>
      <c r="I38" s="40">
        <f t="shared" si="0"/>
        <v>0</v>
      </c>
    </row>
    <row r="39" spans="1:9" ht="15" customHeight="1">
      <c r="A39" s="19" t="s">
        <v>110</v>
      </c>
      <c r="B39" s="59" t="s">
        <v>484</v>
      </c>
      <c r="C39" s="76" t="s">
        <v>1090</v>
      </c>
      <c r="D39" s="76"/>
      <c r="E39" s="40">
        <f>'Stavební rozpočet'!J113</f>
        <v>0</v>
      </c>
      <c r="F39" s="40">
        <f>'Stavební rozpočet'!K113</f>
        <v>0</v>
      </c>
      <c r="G39" s="40">
        <f>'Stavební rozpočet'!L113</f>
        <v>0</v>
      </c>
      <c r="H39" s="17" t="s">
        <v>1225</v>
      </c>
      <c r="I39" s="40">
        <f t="shared" si="0"/>
        <v>0</v>
      </c>
    </row>
    <row r="40" spans="1:9" ht="15" customHeight="1">
      <c r="A40" s="19" t="s">
        <v>110</v>
      </c>
      <c r="B40" s="59" t="s">
        <v>123</v>
      </c>
      <c r="C40" s="76" t="s">
        <v>1052</v>
      </c>
      <c r="D40" s="76"/>
      <c r="E40" s="40">
        <f>'Stavební rozpočet'!J118</f>
        <v>0</v>
      </c>
      <c r="F40" s="40">
        <f>'Stavební rozpočet'!K118</f>
        <v>0</v>
      </c>
      <c r="G40" s="40">
        <f>'Stavební rozpočet'!L118</f>
        <v>0</v>
      </c>
      <c r="H40" s="17" t="s">
        <v>1225</v>
      </c>
      <c r="I40" s="40">
        <f t="shared" si="0"/>
        <v>0</v>
      </c>
    </row>
    <row r="41" spans="1:9" ht="15" customHeight="1">
      <c r="A41" s="19" t="s">
        <v>110</v>
      </c>
      <c r="B41" s="59" t="s">
        <v>885</v>
      </c>
      <c r="C41" s="76" t="s">
        <v>179</v>
      </c>
      <c r="D41" s="76"/>
      <c r="E41" s="40">
        <f>'Stavební rozpočet'!J121</f>
        <v>0</v>
      </c>
      <c r="F41" s="40">
        <f>'Stavební rozpočet'!K121</f>
        <v>0</v>
      </c>
      <c r="G41" s="40">
        <f>'Stavební rozpočet'!L121</f>
        <v>0</v>
      </c>
      <c r="H41" s="17" t="s">
        <v>1225</v>
      </c>
      <c r="I41" s="40">
        <f t="shared" si="0"/>
        <v>0</v>
      </c>
    </row>
    <row r="42" spans="1:9" ht="15" customHeight="1">
      <c r="A42" s="19" t="s">
        <v>110</v>
      </c>
      <c r="B42" s="59" t="s">
        <v>1015</v>
      </c>
      <c r="C42" s="76" t="s">
        <v>1278</v>
      </c>
      <c r="D42" s="76"/>
      <c r="E42" s="40">
        <f>'Stavební rozpočet'!J124</f>
        <v>0</v>
      </c>
      <c r="F42" s="40">
        <f>'Stavební rozpočet'!K124</f>
        <v>0</v>
      </c>
      <c r="G42" s="40">
        <f>'Stavební rozpočet'!L124</f>
        <v>0</v>
      </c>
      <c r="H42" s="17" t="s">
        <v>1225</v>
      </c>
      <c r="I42" s="40">
        <f t="shared" si="0"/>
        <v>0</v>
      </c>
    </row>
    <row r="43" spans="1:9" ht="15" customHeight="1">
      <c r="A43" s="19" t="s">
        <v>110</v>
      </c>
      <c r="B43" s="59" t="s">
        <v>807</v>
      </c>
      <c r="C43" s="76" t="s">
        <v>428</v>
      </c>
      <c r="D43" s="76"/>
      <c r="E43" s="40">
        <f>'Stavební rozpočet'!J127</f>
        <v>0</v>
      </c>
      <c r="F43" s="40">
        <f>'Stavební rozpočet'!K127</f>
        <v>0</v>
      </c>
      <c r="G43" s="40">
        <f>'Stavební rozpočet'!L127</f>
        <v>0</v>
      </c>
      <c r="H43" s="17" t="s">
        <v>1225</v>
      </c>
      <c r="I43" s="40">
        <f aca="true" t="shared" si="1" ref="I43:I74">IF(H43="F",0,G43)</f>
        <v>0</v>
      </c>
    </row>
    <row r="44" spans="1:9" ht="15" customHeight="1">
      <c r="A44" s="19" t="s">
        <v>110</v>
      </c>
      <c r="B44" s="59" t="s">
        <v>432</v>
      </c>
      <c r="C44" s="76" t="s">
        <v>991</v>
      </c>
      <c r="D44" s="76"/>
      <c r="E44" s="40">
        <f>'Stavební rozpočet'!J129</f>
        <v>0</v>
      </c>
      <c r="F44" s="40">
        <f>'Stavební rozpočet'!K129</f>
        <v>0</v>
      </c>
      <c r="G44" s="40">
        <f>'Stavební rozpočet'!L129</f>
        <v>0</v>
      </c>
      <c r="H44" s="17" t="s">
        <v>1225</v>
      </c>
      <c r="I44" s="40">
        <f t="shared" si="1"/>
        <v>0</v>
      </c>
    </row>
    <row r="45" spans="1:9" ht="15" customHeight="1">
      <c r="A45" s="19" t="s">
        <v>110</v>
      </c>
      <c r="B45" s="59" t="s">
        <v>558</v>
      </c>
      <c r="C45" s="76" t="s">
        <v>1193</v>
      </c>
      <c r="D45" s="76"/>
      <c r="E45" s="40">
        <f>'Stavební rozpočet'!J132</f>
        <v>0</v>
      </c>
      <c r="F45" s="40">
        <f>'Stavební rozpočet'!K132</f>
        <v>0</v>
      </c>
      <c r="G45" s="40">
        <f>'Stavební rozpočet'!L132</f>
        <v>0</v>
      </c>
      <c r="H45" s="17" t="s">
        <v>1225</v>
      </c>
      <c r="I45" s="40">
        <f t="shared" si="1"/>
        <v>0</v>
      </c>
    </row>
    <row r="46" spans="1:9" ht="15" customHeight="1">
      <c r="A46" s="19" t="s">
        <v>110</v>
      </c>
      <c r="B46" s="59" t="s">
        <v>814</v>
      </c>
      <c r="C46" s="76" t="s">
        <v>1433</v>
      </c>
      <c r="D46" s="76"/>
      <c r="E46" s="40">
        <f>'Stavební rozpočet'!J139</f>
        <v>0</v>
      </c>
      <c r="F46" s="40">
        <f>'Stavební rozpočet'!K139</f>
        <v>0</v>
      </c>
      <c r="G46" s="40">
        <f>'Stavební rozpočet'!L139</f>
        <v>0</v>
      </c>
      <c r="H46" s="17" t="s">
        <v>1225</v>
      </c>
      <c r="I46" s="40">
        <f t="shared" si="1"/>
        <v>0</v>
      </c>
    </row>
    <row r="47" spans="1:9" ht="15" customHeight="1">
      <c r="A47" s="19" t="s">
        <v>110</v>
      </c>
      <c r="B47" s="59" t="s">
        <v>63</v>
      </c>
      <c r="C47" s="76" t="s">
        <v>100</v>
      </c>
      <c r="D47" s="76"/>
      <c r="E47" s="40">
        <f>'Stavební rozpočet'!J141</f>
        <v>0</v>
      </c>
      <c r="F47" s="40">
        <f>'Stavební rozpočet'!K141</f>
        <v>0</v>
      </c>
      <c r="G47" s="40">
        <f>'Stavební rozpočet'!L141</f>
        <v>0</v>
      </c>
      <c r="H47" s="17" t="s">
        <v>1225</v>
      </c>
      <c r="I47" s="40">
        <f t="shared" si="1"/>
        <v>0</v>
      </c>
    </row>
    <row r="48" spans="1:9" ht="15" customHeight="1">
      <c r="A48" s="19" t="s">
        <v>110</v>
      </c>
      <c r="B48" s="59" t="s">
        <v>1338</v>
      </c>
      <c r="C48" s="76" t="s">
        <v>823</v>
      </c>
      <c r="D48" s="76"/>
      <c r="E48" s="40">
        <f>'Stavební rozpočet'!J151</f>
        <v>0</v>
      </c>
      <c r="F48" s="40">
        <f>'Stavební rozpočet'!K151</f>
        <v>0</v>
      </c>
      <c r="G48" s="40">
        <f>'Stavební rozpočet'!L151</f>
        <v>0</v>
      </c>
      <c r="H48" s="17" t="s">
        <v>1225</v>
      </c>
      <c r="I48" s="40">
        <f t="shared" si="1"/>
        <v>0</v>
      </c>
    </row>
    <row r="49" spans="1:9" ht="15" customHeight="1">
      <c r="A49" s="19" t="s">
        <v>110</v>
      </c>
      <c r="B49" s="59" t="s">
        <v>61</v>
      </c>
      <c r="C49" s="76" t="s">
        <v>444</v>
      </c>
      <c r="D49" s="76"/>
      <c r="E49" s="40">
        <f>'Stavební rozpočet'!J187</f>
        <v>0</v>
      </c>
      <c r="F49" s="40">
        <f>'Stavební rozpočet'!K187</f>
        <v>0</v>
      </c>
      <c r="G49" s="40">
        <f>'Stavební rozpočet'!L187</f>
        <v>0</v>
      </c>
      <c r="H49" s="17" t="s">
        <v>1225</v>
      </c>
      <c r="I49" s="40">
        <f t="shared" si="1"/>
        <v>0</v>
      </c>
    </row>
    <row r="50" spans="1:9" ht="15" customHeight="1">
      <c r="A50" s="19" t="s">
        <v>110</v>
      </c>
      <c r="B50" s="59" t="s">
        <v>703</v>
      </c>
      <c r="C50" s="76" t="s">
        <v>949</v>
      </c>
      <c r="D50" s="76"/>
      <c r="E50" s="40">
        <f>'Stavební rozpočet'!J189</f>
        <v>0</v>
      </c>
      <c r="F50" s="40">
        <f>'Stavební rozpočet'!K189</f>
        <v>0</v>
      </c>
      <c r="G50" s="40">
        <f>'Stavební rozpočet'!L189</f>
        <v>0</v>
      </c>
      <c r="H50" s="17" t="s">
        <v>1225</v>
      </c>
      <c r="I50" s="40">
        <f t="shared" si="1"/>
        <v>0</v>
      </c>
    </row>
    <row r="51" spans="1:9" ht="15" customHeight="1">
      <c r="A51" s="19" t="s">
        <v>110</v>
      </c>
      <c r="B51" s="59" t="s">
        <v>153</v>
      </c>
      <c r="C51" s="76" t="s">
        <v>1396</v>
      </c>
      <c r="D51" s="76"/>
      <c r="E51" s="40">
        <f>'Stavební rozpočet'!J192</f>
        <v>0</v>
      </c>
      <c r="F51" s="40">
        <f>'Stavební rozpočet'!K192</f>
        <v>0</v>
      </c>
      <c r="G51" s="40">
        <f>'Stavební rozpočet'!L192</f>
        <v>0</v>
      </c>
      <c r="H51" s="17" t="s">
        <v>1225</v>
      </c>
      <c r="I51" s="40">
        <f t="shared" si="1"/>
        <v>0</v>
      </c>
    </row>
    <row r="52" spans="1:9" ht="15" customHeight="1">
      <c r="A52" s="19" t="s">
        <v>110</v>
      </c>
      <c r="B52" s="59" t="s">
        <v>1335</v>
      </c>
      <c r="C52" s="76" t="s">
        <v>933</v>
      </c>
      <c r="D52" s="76"/>
      <c r="E52" s="40">
        <f>'Stavební rozpočet'!J195</f>
        <v>0</v>
      </c>
      <c r="F52" s="40">
        <f>'Stavební rozpočet'!K195</f>
        <v>0</v>
      </c>
      <c r="G52" s="40">
        <f>'Stavební rozpočet'!L195</f>
        <v>0</v>
      </c>
      <c r="H52" s="17" t="s">
        <v>1225</v>
      </c>
      <c r="I52" s="40">
        <f t="shared" si="1"/>
        <v>0</v>
      </c>
    </row>
    <row r="53" spans="1:9" ht="15" customHeight="1">
      <c r="A53" s="19" t="s">
        <v>255</v>
      </c>
      <c r="B53" s="59" t="s">
        <v>878</v>
      </c>
      <c r="C53" s="76" t="s">
        <v>1134</v>
      </c>
      <c r="D53" s="76"/>
      <c r="E53" s="40">
        <f>'Stavební rozpočet'!J204</f>
        <v>0</v>
      </c>
      <c r="F53" s="40">
        <f>'Stavební rozpočet'!K204</f>
        <v>0</v>
      </c>
      <c r="G53" s="40">
        <f>'Stavební rozpočet'!L204</f>
        <v>0</v>
      </c>
      <c r="H53" s="17" t="s">
        <v>544</v>
      </c>
      <c r="I53" s="40">
        <f t="shared" si="1"/>
        <v>0</v>
      </c>
    </row>
    <row r="54" spans="1:9" ht="15" customHeight="1">
      <c r="A54" s="19" t="s">
        <v>255</v>
      </c>
      <c r="B54" s="59" t="s">
        <v>1054</v>
      </c>
      <c r="C54" s="76" t="s">
        <v>690</v>
      </c>
      <c r="D54" s="76"/>
      <c r="E54" s="40">
        <f>'Stavební rozpočet'!J205</f>
        <v>0</v>
      </c>
      <c r="F54" s="40">
        <f>'Stavební rozpočet'!K205</f>
        <v>0</v>
      </c>
      <c r="G54" s="40">
        <f>'Stavební rozpočet'!L205</f>
        <v>0</v>
      </c>
      <c r="H54" s="17" t="s">
        <v>1225</v>
      </c>
      <c r="I54" s="40">
        <f t="shared" si="1"/>
        <v>0</v>
      </c>
    </row>
    <row r="55" spans="1:9" ht="15" customHeight="1">
      <c r="A55" s="19" t="s">
        <v>255</v>
      </c>
      <c r="B55" s="59" t="s">
        <v>368</v>
      </c>
      <c r="C55" s="76" t="s">
        <v>13</v>
      </c>
      <c r="D55" s="76"/>
      <c r="E55" s="40">
        <f>'Stavební rozpočet'!J222</f>
        <v>0</v>
      </c>
      <c r="F55" s="40">
        <f>'Stavební rozpočet'!K222</f>
        <v>0</v>
      </c>
      <c r="G55" s="40">
        <f>'Stavební rozpočet'!L222</f>
        <v>0</v>
      </c>
      <c r="H55" s="17" t="s">
        <v>1225</v>
      </c>
      <c r="I55" s="40">
        <f t="shared" si="1"/>
        <v>0</v>
      </c>
    </row>
    <row r="56" spans="1:9" ht="15" customHeight="1">
      <c r="A56" s="19" t="s">
        <v>255</v>
      </c>
      <c r="B56" s="59" t="s">
        <v>751</v>
      </c>
      <c r="C56" s="76" t="s">
        <v>729</v>
      </c>
      <c r="D56" s="76"/>
      <c r="E56" s="40">
        <f>'Stavební rozpočet'!J226</f>
        <v>0</v>
      </c>
      <c r="F56" s="40">
        <f>'Stavební rozpočet'!K226</f>
        <v>0</v>
      </c>
      <c r="G56" s="40">
        <f>'Stavební rozpočet'!L226</f>
        <v>0</v>
      </c>
      <c r="H56" s="17" t="s">
        <v>1225</v>
      </c>
      <c r="I56" s="40">
        <f t="shared" si="1"/>
        <v>0</v>
      </c>
    </row>
    <row r="57" spans="1:9" ht="15" customHeight="1">
      <c r="A57" s="19" t="s">
        <v>255</v>
      </c>
      <c r="B57" s="59" t="s">
        <v>484</v>
      </c>
      <c r="C57" s="76" t="s">
        <v>1090</v>
      </c>
      <c r="D57" s="76"/>
      <c r="E57" s="40">
        <f>'Stavební rozpočet'!J229</f>
        <v>0</v>
      </c>
      <c r="F57" s="40">
        <f>'Stavební rozpočet'!K229</f>
        <v>0</v>
      </c>
      <c r="G57" s="40">
        <f>'Stavební rozpočet'!L229</f>
        <v>0</v>
      </c>
      <c r="H57" s="17" t="s">
        <v>1225</v>
      </c>
      <c r="I57" s="40">
        <f t="shared" si="1"/>
        <v>0</v>
      </c>
    </row>
    <row r="58" spans="1:9" ht="15" customHeight="1">
      <c r="A58" s="19" t="s">
        <v>255</v>
      </c>
      <c r="B58" s="59" t="s">
        <v>123</v>
      </c>
      <c r="C58" s="76" t="s">
        <v>1052</v>
      </c>
      <c r="D58" s="76"/>
      <c r="E58" s="40">
        <f>'Stavební rozpočet'!J232</f>
        <v>0</v>
      </c>
      <c r="F58" s="40">
        <f>'Stavební rozpočet'!K232</f>
        <v>0</v>
      </c>
      <c r="G58" s="40">
        <f>'Stavební rozpočet'!L232</f>
        <v>0</v>
      </c>
      <c r="H58" s="17" t="s">
        <v>1225</v>
      </c>
      <c r="I58" s="40">
        <f t="shared" si="1"/>
        <v>0</v>
      </c>
    </row>
    <row r="59" spans="1:9" ht="15" customHeight="1">
      <c r="A59" s="19" t="s">
        <v>255</v>
      </c>
      <c r="B59" s="59" t="s">
        <v>885</v>
      </c>
      <c r="C59" s="76" t="s">
        <v>179</v>
      </c>
      <c r="D59" s="76"/>
      <c r="E59" s="40">
        <f>'Stavební rozpočet'!J235</f>
        <v>0</v>
      </c>
      <c r="F59" s="40">
        <f>'Stavební rozpočet'!K235</f>
        <v>0</v>
      </c>
      <c r="G59" s="40">
        <f>'Stavební rozpočet'!L235</f>
        <v>0</v>
      </c>
      <c r="H59" s="17" t="s">
        <v>1225</v>
      </c>
      <c r="I59" s="40">
        <f t="shared" si="1"/>
        <v>0</v>
      </c>
    </row>
    <row r="60" spans="1:9" ht="15" customHeight="1">
      <c r="A60" s="19" t="s">
        <v>255</v>
      </c>
      <c r="B60" s="59" t="s">
        <v>807</v>
      </c>
      <c r="C60" s="76" t="s">
        <v>428</v>
      </c>
      <c r="D60" s="76"/>
      <c r="E60" s="40">
        <f>'Stavební rozpočet'!J238</f>
        <v>0</v>
      </c>
      <c r="F60" s="40">
        <f>'Stavební rozpočet'!K238</f>
        <v>0</v>
      </c>
      <c r="G60" s="40">
        <f>'Stavební rozpočet'!L238</f>
        <v>0</v>
      </c>
      <c r="H60" s="17" t="s">
        <v>1225</v>
      </c>
      <c r="I60" s="40">
        <f t="shared" si="1"/>
        <v>0</v>
      </c>
    </row>
    <row r="61" spans="1:9" ht="15" customHeight="1">
      <c r="A61" s="19" t="s">
        <v>255</v>
      </c>
      <c r="B61" s="59" t="s">
        <v>432</v>
      </c>
      <c r="C61" s="76" t="s">
        <v>991</v>
      </c>
      <c r="D61" s="76"/>
      <c r="E61" s="40">
        <f>'Stavební rozpočet'!J240</f>
        <v>0</v>
      </c>
      <c r="F61" s="40">
        <f>'Stavební rozpočet'!K240</f>
        <v>0</v>
      </c>
      <c r="G61" s="40">
        <f>'Stavební rozpočet'!L240</f>
        <v>0</v>
      </c>
      <c r="H61" s="17" t="s">
        <v>1225</v>
      </c>
      <c r="I61" s="40">
        <f t="shared" si="1"/>
        <v>0</v>
      </c>
    </row>
    <row r="62" spans="1:9" ht="15" customHeight="1">
      <c r="A62" s="19" t="s">
        <v>255</v>
      </c>
      <c r="B62" s="59" t="s">
        <v>801</v>
      </c>
      <c r="C62" s="76" t="s">
        <v>1165</v>
      </c>
      <c r="D62" s="76"/>
      <c r="E62" s="40">
        <f>'Stavební rozpočet'!J243</f>
        <v>0</v>
      </c>
      <c r="F62" s="40">
        <f>'Stavební rozpočet'!K243</f>
        <v>0</v>
      </c>
      <c r="G62" s="40">
        <f>'Stavební rozpočet'!L243</f>
        <v>0</v>
      </c>
      <c r="H62" s="17" t="s">
        <v>1225</v>
      </c>
      <c r="I62" s="40">
        <f t="shared" si="1"/>
        <v>0</v>
      </c>
    </row>
    <row r="63" spans="1:9" ht="15" customHeight="1">
      <c r="A63" s="19" t="s">
        <v>255</v>
      </c>
      <c r="B63" s="59" t="s">
        <v>1203</v>
      </c>
      <c r="C63" s="76" t="s">
        <v>846</v>
      </c>
      <c r="D63" s="76"/>
      <c r="E63" s="40">
        <f>'Stavební rozpočet'!J247</f>
        <v>0</v>
      </c>
      <c r="F63" s="40">
        <f>'Stavební rozpočet'!K247</f>
        <v>0</v>
      </c>
      <c r="G63" s="40">
        <f>'Stavební rozpočet'!L247</f>
        <v>0</v>
      </c>
      <c r="H63" s="17" t="s">
        <v>1225</v>
      </c>
      <c r="I63" s="40">
        <f t="shared" si="1"/>
        <v>0</v>
      </c>
    </row>
    <row r="64" spans="1:9" ht="15" customHeight="1">
      <c r="A64" s="19" t="s">
        <v>255</v>
      </c>
      <c r="B64" s="59" t="s">
        <v>63</v>
      </c>
      <c r="C64" s="76" t="s">
        <v>100</v>
      </c>
      <c r="D64" s="76"/>
      <c r="E64" s="40">
        <f>'Stavební rozpočet'!J252</f>
        <v>0</v>
      </c>
      <c r="F64" s="40">
        <f>'Stavební rozpočet'!K252</f>
        <v>0</v>
      </c>
      <c r="G64" s="40">
        <f>'Stavební rozpočet'!L252</f>
        <v>0</v>
      </c>
      <c r="H64" s="17" t="s">
        <v>1225</v>
      </c>
      <c r="I64" s="40">
        <f t="shared" si="1"/>
        <v>0</v>
      </c>
    </row>
    <row r="65" spans="1:9" ht="15" customHeight="1">
      <c r="A65" s="19" t="s">
        <v>255</v>
      </c>
      <c r="B65" s="59" t="s">
        <v>1338</v>
      </c>
      <c r="C65" s="76" t="s">
        <v>823</v>
      </c>
      <c r="D65" s="76"/>
      <c r="E65" s="40">
        <f>'Stavební rozpočet'!J273</f>
        <v>0</v>
      </c>
      <c r="F65" s="40">
        <f>'Stavební rozpočet'!K273</f>
        <v>0</v>
      </c>
      <c r="G65" s="40">
        <f>'Stavební rozpočet'!L273</f>
        <v>0</v>
      </c>
      <c r="H65" s="17" t="s">
        <v>1225</v>
      </c>
      <c r="I65" s="40">
        <f t="shared" si="1"/>
        <v>0</v>
      </c>
    </row>
    <row r="66" spans="1:9" ht="15" customHeight="1">
      <c r="A66" s="19" t="s">
        <v>255</v>
      </c>
      <c r="B66" s="59" t="s">
        <v>61</v>
      </c>
      <c r="C66" s="76" t="s">
        <v>444</v>
      </c>
      <c r="D66" s="76"/>
      <c r="E66" s="40">
        <f>'Stavební rozpočet'!J302</f>
        <v>0</v>
      </c>
      <c r="F66" s="40">
        <f>'Stavební rozpočet'!K302</f>
        <v>0</v>
      </c>
      <c r="G66" s="40">
        <f>'Stavební rozpočet'!L302</f>
        <v>0</v>
      </c>
      <c r="H66" s="17" t="s">
        <v>1225</v>
      </c>
      <c r="I66" s="40">
        <f t="shared" si="1"/>
        <v>0</v>
      </c>
    </row>
    <row r="67" spans="1:9" ht="15" customHeight="1">
      <c r="A67" s="19" t="s">
        <v>255</v>
      </c>
      <c r="B67" s="59" t="s">
        <v>1152</v>
      </c>
      <c r="C67" s="76" t="s">
        <v>478</v>
      </c>
      <c r="D67" s="76"/>
      <c r="E67" s="40">
        <f>'Stavební rozpočet'!J305</f>
        <v>0</v>
      </c>
      <c r="F67" s="40">
        <f>'Stavební rozpočet'!K305</f>
        <v>0</v>
      </c>
      <c r="G67" s="40">
        <f>'Stavební rozpočet'!L305</f>
        <v>0</v>
      </c>
      <c r="H67" s="17" t="s">
        <v>1225</v>
      </c>
      <c r="I67" s="40">
        <f t="shared" si="1"/>
        <v>0</v>
      </c>
    </row>
    <row r="68" spans="1:9" ht="15" customHeight="1">
      <c r="A68" s="19" t="s">
        <v>255</v>
      </c>
      <c r="B68" s="59" t="s">
        <v>1335</v>
      </c>
      <c r="C68" s="76" t="s">
        <v>933</v>
      </c>
      <c r="D68" s="76"/>
      <c r="E68" s="40">
        <f>'Stavební rozpočet'!J307</f>
        <v>0</v>
      </c>
      <c r="F68" s="40">
        <f>'Stavební rozpočet'!K307</f>
        <v>0</v>
      </c>
      <c r="G68" s="40">
        <f>'Stavební rozpočet'!L307</f>
        <v>0</v>
      </c>
      <c r="H68" s="17" t="s">
        <v>1225</v>
      </c>
      <c r="I68" s="40">
        <f t="shared" si="1"/>
        <v>0</v>
      </c>
    </row>
    <row r="69" spans="1:9" ht="15" customHeight="1">
      <c r="A69" s="19" t="s">
        <v>1129</v>
      </c>
      <c r="B69" s="59" t="s">
        <v>878</v>
      </c>
      <c r="C69" s="76" t="s">
        <v>540</v>
      </c>
      <c r="D69" s="76"/>
      <c r="E69" s="40">
        <f>'Stavební rozpočet'!J315</f>
        <v>0</v>
      </c>
      <c r="F69" s="40">
        <f>'Stavební rozpočet'!K315</f>
        <v>0</v>
      </c>
      <c r="G69" s="40">
        <f>'Stavební rozpočet'!L315</f>
        <v>0</v>
      </c>
      <c r="H69" s="17" t="s">
        <v>544</v>
      </c>
      <c r="I69" s="40">
        <f t="shared" si="1"/>
        <v>0</v>
      </c>
    </row>
    <row r="70" spans="1:9" ht="15" customHeight="1">
      <c r="A70" s="19" t="s">
        <v>1129</v>
      </c>
      <c r="B70" s="59" t="s">
        <v>1054</v>
      </c>
      <c r="C70" s="76" t="s">
        <v>690</v>
      </c>
      <c r="D70" s="76"/>
      <c r="E70" s="40">
        <f>'Stavební rozpočet'!J316</f>
        <v>0</v>
      </c>
      <c r="F70" s="40">
        <f>'Stavební rozpočet'!K316</f>
        <v>0</v>
      </c>
      <c r="G70" s="40">
        <f>'Stavební rozpočet'!L316</f>
        <v>0</v>
      </c>
      <c r="H70" s="17" t="s">
        <v>1225</v>
      </c>
      <c r="I70" s="40">
        <f t="shared" si="1"/>
        <v>0</v>
      </c>
    </row>
    <row r="71" spans="1:9" ht="15" customHeight="1">
      <c r="A71" s="19" t="s">
        <v>1129</v>
      </c>
      <c r="B71" s="59" t="s">
        <v>368</v>
      </c>
      <c r="C71" s="76" t="s">
        <v>13</v>
      </c>
      <c r="D71" s="76"/>
      <c r="E71" s="40">
        <f>'Stavební rozpočet'!J329</f>
        <v>0</v>
      </c>
      <c r="F71" s="40">
        <f>'Stavební rozpočet'!K329</f>
        <v>0</v>
      </c>
      <c r="G71" s="40">
        <f>'Stavební rozpočet'!L329</f>
        <v>0</v>
      </c>
      <c r="H71" s="17" t="s">
        <v>1225</v>
      </c>
      <c r="I71" s="40">
        <f t="shared" si="1"/>
        <v>0</v>
      </c>
    </row>
    <row r="72" spans="1:9" ht="15" customHeight="1">
      <c r="A72" s="19" t="s">
        <v>1129</v>
      </c>
      <c r="B72" s="59" t="s">
        <v>484</v>
      </c>
      <c r="C72" s="76" t="s">
        <v>1090</v>
      </c>
      <c r="D72" s="76"/>
      <c r="E72" s="40">
        <f>'Stavební rozpočet'!J332</f>
        <v>0</v>
      </c>
      <c r="F72" s="40">
        <f>'Stavební rozpočet'!K332</f>
        <v>0</v>
      </c>
      <c r="G72" s="40">
        <f>'Stavební rozpočet'!L332</f>
        <v>0</v>
      </c>
      <c r="H72" s="17" t="s">
        <v>1225</v>
      </c>
      <c r="I72" s="40">
        <f t="shared" si="1"/>
        <v>0</v>
      </c>
    </row>
    <row r="73" spans="1:9" ht="15" customHeight="1">
      <c r="A73" s="19" t="s">
        <v>1129</v>
      </c>
      <c r="B73" s="59" t="s">
        <v>123</v>
      </c>
      <c r="C73" s="76" t="s">
        <v>1052</v>
      </c>
      <c r="D73" s="76"/>
      <c r="E73" s="40">
        <f>'Stavební rozpočet'!J335</f>
        <v>0</v>
      </c>
      <c r="F73" s="40">
        <f>'Stavební rozpočet'!K335</f>
        <v>0</v>
      </c>
      <c r="G73" s="40">
        <f>'Stavební rozpočet'!L335</f>
        <v>0</v>
      </c>
      <c r="H73" s="17" t="s">
        <v>1225</v>
      </c>
      <c r="I73" s="40">
        <f t="shared" si="1"/>
        <v>0</v>
      </c>
    </row>
    <row r="74" spans="1:9" ht="15" customHeight="1">
      <c r="A74" s="19" t="s">
        <v>1129</v>
      </c>
      <c r="B74" s="59" t="s">
        <v>885</v>
      </c>
      <c r="C74" s="76" t="s">
        <v>179</v>
      </c>
      <c r="D74" s="76"/>
      <c r="E74" s="40">
        <f>'Stavební rozpočet'!J338</f>
        <v>0</v>
      </c>
      <c r="F74" s="40">
        <f>'Stavební rozpočet'!K338</f>
        <v>0</v>
      </c>
      <c r="G74" s="40">
        <f>'Stavební rozpočet'!L338</f>
        <v>0</v>
      </c>
      <c r="H74" s="17" t="s">
        <v>1225</v>
      </c>
      <c r="I74" s="40">
        <f t="shared" si="1"/>
        <v>0</v>
      </c>
    </row>
    <row r="75" spans="1:9" ht="15" customHeight="1">
      <c r="A75" s="19" t="s">
        <v>1129</v>
      </c>
      <c r="B75" s="59" t="s">
        <v>807</v>
      </c>
      <c r="C75" s="76" t="s">
        <v>428</v>
      </c>
      <c r="D75" s="76"/>
      <c r="E75" s="40">
        <f>'Stavební rozpočet'!J341</f>
        <v>0</v>
      </c>
      <c r="F75" s="40">
        <f>'Stavební rozpočet'!K341</f>
        <v>0</v>
      </c>
      <c r="G75" s="40">
        <f>'Stavební rozpočet'!L341</f>
        <v>0</v>
      </c>
      <c r="H75" s="17" t="s">
        <v>1225</v>
      </c>
      <c r="I75" s="40">
        <f aca="true" t="shared" si="2" ref="I75:I106">IF(H75="F",0,G75)</f>
        <v>0</v>
      </c>
    </row>
    <row r="76" spans="1:9" ht="15" customHeight="1">
      <c r="A76" s="19" t="s">
        <v>1129</v>
      </c>
      <c r="B76" s="59" t="s">
        <v>432</v>
      </c>
      <c r="C76" s="76" t="s">
        <v>991</v>
      </c>
      <c r="D76" s="76"/>
      <c r="E76" s="40">
        <f>'Stavební rozpočet'!J343</f>
        <v>0</v>
      </c>
      <c r="F76" s="40">
        <f>'Stavební rozpočet'!K343</f>
        <v>0</v>
      </c>
      <c r="G76" s="40">
        <f>'Stavební rozpočet'!L343</f>
        <v>0</v>
      </c>
      <c r="H76" s="17" t="s">
        <v>1225</v>
      </c>
      <c r="I76" s="40">
        <f t="shared" si="2"/>
        <v>0</v>
      </c>
    </row>
    <row r="77" spans="1:9" ht="15" customHeight="1">
      <c r="A77" s="19" t="s">
        <v>1129</v>
      </c>
      <c r="B77" s="59" t="s">
        <v>63</v>
      </c>
      <c r="C77" s="76" t="s">
        <v>100</v>
      </c>
      <c r="D77" s="76"/>
      <c r="E77" s="40">
        <f>'Stavební rozpočet'!J345</f>
        <v>0</v>
      </c>
      <c r="F77" s="40">
        <f>'Stavební rozpočet'!K345</f>
        <v>0</v>
      </c>
      <c r="G77" s="40">
        <f>'Stavební rozpočet'!L345</f>
        <v>0</v>
      </c>
      <c r="H77" s="17" t="s">
        <v>1225</v>
      </c>
      <c r="I77" s="40">
        <f t="shared" si="2"/>
        <v>0</v>
      </c>
    </row>
    <row r="78" spans="1:9" ht="15" customHeight="1">
      <c r="A78" s="19" t="s">
        <v>1129</v>
      </c>
      <c r="B78" s="59" t="s">
        <v>1338</v>
      </c>
      <c r="C78" s="76" t="s">
        <v>823</v>
      </c>
      <c r="D78" s="76"/>
      <c r="E78" s="40">
        <f>'Stavební rozpočet'!J351</f>
        <v>0</v>
      </c>
      <c r="F78" s="40">
        <f>'Stavební rozpočet'!K351</f>
        <v>0</v>
      </c>
      <c r="G78" s="40">
        <f>'Stavební rozpočet'!L351</f>
        <v>0</v>
      </c>
      <c r="H78" s="17" t="s">
        <v>1225</v>
      </c>
      <c r="I78" s="40">
        <f t="shared" si="2"/>
        <v>0</v>
      </c>
    </row>
    <row r="79" spans="1:9" ht="15" customHeight="1">
      <c r="A79" s="19" t="s">
        <v>1129</v>
      </c>
      <c r="B79" s="59" t="s">
        <v>61</v>
      </c>
      <c r="C79" s="76" t="s">
        <v>444</v>
      </c>
      <c r="D79" s="76"/>
      <c r="E79" s="40">
        <f>'Stavební rozpočet'!J355</f>
        <v>0</v>
      </c>
      <c r="F79" s="40">
        <f>'Stavební rozpočet'!K355</f>
        <v>0</v>
      </c>
      <c r="G79" s="40">
        <f>'Stavební rozpočet'!L355</f>
        <v>0</v>
      </c>
      <c r="H79" s="17" t="s">
        <v>1225</v>
      </c>
      <c r="I79" s="40">
        <f t="shared" si="2"/>
        <v>0</v>
      </c>
    </row>
    <row r="80" spans="1:9" ht="15" customHeight="1">
      <c r="A80" s="19" t="s">
        <v>1271</v>
      </c>
      <c r="B80" s="59" t="s">
        <v>878</v>
      </c>
      <c r="C80" s="76" t="s">
        <v>1128</v>
      </c>
      <c r="D80" s="76"/>
      <c r="E80" s="40">
        <f>'Stavební rozpočet'!J358</f>
        <v>0</v>
      </c>
      <c r="F80" s="40">
        <f>'Stavební rozpočet'!K358</f>
        <v>0</v>
      </c>
      <c r="G80" s="40">
        <f>'Stavební rozpočet'!L358</f>
        <v>0</v>
      </c>
      <c r="H80" s="17" t="s">
        <v>544</v>
      </c>
      <c r="I80" s="40">
        <f t="shared" si="2"/>
        <v>0</v>
      </c>
    </row>
    <row r="81" spans="1:9" ht="15" customHeight="1">
      <c r="A81" s="19" t="s">
        <v>1271</v>
      </c>
      <c r="B81" s="59" t="s">
        <v>1054</v>
      </c>
      <c r="C81" s="76" t="s">
        <v>690</v>
      </c>
      <c r="D81" s="76"/>
      <c r="E81" s="40">
        <f>'Stavební rozpočet'!J359</f>
        <v>0</v>
      </c>
      <c r="F81" s="40">
        <f>'Stavební rozpočet'!K359</f>
        <v>0</v>
      </c>
      <c r="G81" s="40">
        <f>'Stavební rozpočet'!L359</f>
        <v>0</v>
      </c>
      <c r="H81" s="17" t="s">
        <v>1225</v>
      </c>
      <c r="I81" s="40">
        <f t="shared" si="2"/>
        <v>0</v>
      </c>
    </row>
    <row r="82" spans="1:9" ht="15" customHeight="1">
      <c r="A82" s="19" t="s">
        <v>1271</v>
      </c>
      <c r="B82" s="59" t="s">
        <v>938</v>
      </c>
      <c r="C82" s="76" t="s">
        <v>314</v>
      </c>
      <c r="D82" s="76"/>
      <c r="E82" s="40">
        <f>'Stavební rozpočet'!J372</f>
        <v>0</v>
      </c>
      <c r="F82" s="40">
        <f>'Stavební rozpočet'!K372</f>
        <v>0</v>
      </c>
      <c r="G82" s="40">
        <f>'Stavební rozpočet'!L372</f>
        <v>0</v>
      </c>
      <c r="H82" s="17" t="s">
        <v>1225</v>
      </c>
      <c r="I82" s="40">
        <f t="shared" si="2"/>
        <v>0</v>
      </c>
    </row>
    <row r="83" spans="1:9" ht="15" customHeight="1">
      <c r="A83" s="19" t="s">
        <v>1271</v>
      </c>
      <c r="B83" s="59" t="s">
        <v>368</v>
      </c>
      <c r="C83" s="76" t="s">
        <v>13</v>
      </c>
      <c r="D83" s="76"/>
      <c r="E83" s="40">
        <f>'Stavební rozpočet'!J374</f>
        <v>0</v>
      </c>
      <c r="F83" s="40">
        <f>'Stavební rozpočet'!K374</f>
        <v>0</v>
      </c>
      <c r="G83" s="40">
        <f>'Stavební rozpočet'!L374</f>
        <v>0</v>
      </c>
      <c r="H83" s="17" t="s">
        <v>1225</v>
      </c>
      <c r="I83" s="40">
        <f t="shared" si="2"/>
        <v>0</v>
      </c>
    </row>
    <row r="84" spans="1:9" ht="15" customHeight="1">
      <c r="A84" s="19" t="s">
        <v>1271</v>
      </c>
      <c r="B84" s="59" t="s">
        <v>751</v>
      </c>
      <c r="C84" s="76" t="s">
        <v>729</v>
      </c>
      <c r="D84" s="76"/>
      <c r="E84" s="40">
        <f>'Stavební rozpočet'!J377</f>
        <v>0</v>
      </c>
      <c r="F84" s="40">
        <f>'Stavební rozpočet'!K377</f>
        <v>0</v>
      </c>
      <c r="G84" s="40">
        <f>'Stavební rozpočet'!L377</f>
        <v>0</v>
      </c>
      <c r="H84" s="17" t="s">
        <v>1225</v>
      </c>
      <c r="I84" s="40">
        <f t="shared" si="2"/>
        <v>0</v>
      </c>
    </row>
    <row r="85" spans="1:9" ht="15" customHeight="1">
      <c r="A85" s="19" t="s">
        <v>1271</v>
      </c>
      <c r="B85" s="59" t="s">
        <v>484</v>
      </c>
      <c r="C85" s="76" t="s">
        <v>1090</v>
      </c>
      <c r="D85" s="76"/>
      <c r="E85" s="40">
        <f>'Stavební rozpočet'!J380</f>
        <v>0</v>
      </c>
      <c r="F85" s="40">
        <f>'Stavební rozpočet'!K380</f>
        <v>0</v>
      </c>
      <c r="G85" s="40">
        <f>'Stavební rozpočet'!L380</f>
        <v>0</v>
      </c>
      <c r="H85" s="17" t="s">
        <v>1225</v>
      </c>
      <c r="I85" s="40">
        <f t="shared" si="2"/>
        <v>0</v>
      </c>
    </row>
    <row r="86" spans="1:9" ht="15" customHeight="1">
      <c r="A86" s="19" t="s">
        <v>1271</v>
      </c>
      <c r="B86" s="59" t="s">
        <v>123</v>
      </c>
      <c r="C86" s="76" t="s">
        <v>1052</v>
      </c>
      <c r="D86" s="76"/>
      <c r="E86" s="40">
        <f>'Stavební rozpočet'!J383</f>
        <v>0</v>
      </c>
      <c r="F86" s="40">
        <f>'Stavební rozpočet'!K383</f>
        <v>0</v>
      </c>
      <c r="G86" s="40">
        <f>'Stavební rozpočet'!L383</f>
        <v>0</v>
      </c>
      <c r="H86" s="17" t="s">
        <v>1225</v>
      </c>
      <c r="I86" s="40">
        <f t="shared" si="2"/>
        <v>0</v>
      </c>
    </row>
    <row r="87" spans="1:9" ht="15" customHeight="1">
      <c r="A87" s="19" t="s">
        <v>1271</v>
      </c>
      <c r="B87" s="59" t="s">
        <v>885</v>
      </c>
      <c r="C87" s="76" t="s">
        <v>179</v>
      </c>
      <c r="D87" s="76"/>
      <c r="E87" s="40">
        <f>'Stavební rozpočet'!J386</f>
        <v>0</v>
      </c>
      <c r="F87" s="40">
        <f>'Stavební rozpočet'!K386</f>
        <v>0</v>
      </c>
      <c r="G87" s="40">
        <f>'Stavební rozpočet'!L386</f>
        <v>0</v>
      </c>
      <c r="H87" s="17" t="s">
        <v>1225</v>
      </c>
      <c r="I87" s="40">
        <f t="shared" si="2"/>
        <v>0</v>
      </c>
    </row>
    <row r="88" spans="1:9" ht="15" customHeight="1">
      <c r="A88" s="19" t="s">
        <v>1271</v>
      </c>
      <c r="B88" s="59" t="s">
        <v>1015</v>
      </c>
      <c r="C88" s="76" t="s">
        <v>1278</v>
      </c>
      <c r="D88" s="76"/>
      <c r="E88" s="40">
        <f>'Stavební rozpočet'!J389</f>
        <v>0</v>
      </c>
      <c r="F88" s="40">
        <f>'Stavební rozpočet'!K389</f>
        <v>0</v>
      </c>
      <c r="G88" s="40">
        <f>'Stavební rozpočet'!L389</f>
        <v>0</v>
      </c>
      <c r="H88" s="17" t="s">
        <v>1225</v>
      </c>
      <c r="I88" s="40">
        <f t="shared" si="2"/>
        <v>0</v>
      </c>
    </row>
    <row r="89" spans="1:9" ht="15" customHeight="1">
      <c r="A89" s="19" t="s">
        <v>1271</v>
      </c>
      <c r="B89" s="59" t="s">
        <v>807</v>
      </c>
      <c r="C89" s="76" t="s">
        <v>428</v>
      </c>
      <c r="D89" s="76"/>
      <c r="E89" s="40">
        <f>'Stavební rozpočet'!J392</f>
        <v>0</v>
      </c>
      <c r="F89" s="40">
        <f>'Stavební rozpočet'!K392</f>
        <v>0</v>
      </c>
      <c r="G89" s="40">
        <f>'Stavební rozpočet'!L392</f>
        <v>0</v>
      </c>
      <c r="H89" s="17" t="s">
        <v>1225</v>
      </c>
      <c r="I89" s="40">
        <f t="shared" si="2"/>
        <v>0</v>
      </c>
    </row>
    <row r="90" spans="1:9" ht="15" customHeight="1">
      <c r="A90" s="19" t="s">
        <v>1271</v>
      </c>
      <c r="B90" s="59" t="s">
        <v>432</v>
      </c>
      <c r="C90" s="76" t="s">
        <v>991</v>
      </c>
      <c r="D90" s="76"/>
      <c r="E90" s="40">
        <f>'Stavební rozpočet'!J394</f>
        <v>0</v>
      </c>
      <c r="F90" s="40">
        <f>'Stavební rozpočet'!K394</f>
        <v>0</v>
      </c>
      <c r="G90" s="40">
        <f>'Stavební rozpočet'!L394</f>
        <v>0</v>
      </c>
      <c r="H90" s="17" t="s">
        <v>1225</v>
      </c>
      <c r="I90" s="40">
        <f t="shared" si="2"/>
        <v>0</v>
      </c>
    </row>
    <row r="91" spans="1:9" ht="15" customHeight="1">
      <c r="A91" s="19" t="s">
        <v>1271</v>
      </c>
      <c r="B91" s="59" t="s">
        <v>1144</v>
      </c>
      <c r="C91" s="76" t="s">
        <v>781</v>
      </c>
      <c r="D91" s="76"/>
      <c r="E91" s="40">
        <f>'Stavební rozpočet'!J397</f>
        <v>0</v>
      </c>
      <c r="F91" s="40">
        <f>'Stavební rozpočet'!K397</f>
        <v>0</v>
      </c>
      <c r="G91" s="40">
        <f>'Stavební rozpočet'!L397</f>
        <v>0</v>
      </c>
      <c r="H91" s="17" t="s">
        <v>1225</v>
      </c>
      <c r="I91" s="40">
        <f t="shared" si="2"/>
        <v>0</v>
      </c>
    </row>
    <row r="92" spans="1:9" ht="15" customHeight="1">
      <c r="A92" s="19" t="s">
        <v>1271</v>
      </c>
      <c r="B92" s="59" t="s">
        <v>606</v>
      </c>
      <c r="C92" s="76" t="s">
        <v>557</v>
      </c>
      <c r="D92" s="76"/>
      <c r="E92" s="40">
        <f>'Stavební rozpočet'!J399</f>
        <v>0</v>
      </c>
      <c r="F92" s="40">
        <f>'Stavební rozpočet'!K399</f>
        <v>0</v>
      </c>
      <c r="G92" s="40">
        <f>'Stavební rozpočet'!L399</f>
        <v>0</v>
      </c>
      <c r="H92" s="17" t="s">
        <v>1225</v>
      </c>
      <c r="I92" s="40">
        <f t="shared" si="2"/>
        <v>0</v>
      </c>
    </row>
    <row r="93" spans="1:9" ht="15" customHeight="1">
      <c r="A93" s="19" t="s">
        <v>1271</v>
      </c>
      <c r="B93" s="59" t="s">
        <v>63</v>
      </c>
      <c r="C93" s="76" t="s">
        <v>100</v>
      </c>
      <c r="D93" s="76"/>
      <c r="E93" s="40">
        <f>'Stavební rozpočet'!J408</f>
        <v>0</v>
      </c>
      <c r="F93" s="40">
        <f>'Stavební rozpočet'!K408</f>
        <v>0</v>
      </c>
      <c r="G93" s="40">
        <f>'Stavební rozpočet'!L408</f>
        <v>0</v>
      </c>
      <c r="H93" s="17" t="s">
        <v>1225</v>
      </c>
      <c r="I93" s="40">
        <f t="shared" si="2"/>
        <v>0</v>
      </c>
    </row>
    <row r="94" spans="1:9" ht="15" customHeight="1">
      <c r="A94" s="19" t="s">
        <v>1271</v>
      </c>
      <c r="B94" s="59" t="s">
        <v>1338</v>
      </c>
      <c r="C94" s="76" t="s">
        <v>823</v>
      </c>
      <c r="D94" s="76"/>
      <c r="E94" s="40">
        <f>'Stavební rozpočet'!J415</f>
        <v>0</v>
      </c>
      <c r="F94" s="40">
        <f>'Stavební rozpočet'!K415</f>
        <v>0</v>
      </c>
      <c r="G94" s="40">
        <f>'Stavební rozpočet'!L415</f>
        <v>0</v>
      </c>
      <c r="H94" s="17" t="s">
        <v>1225</v>
      </c>
      <c r="I94" s="40">
        <f t="shared" si="2"/>
        <v>0</v>
      </c>
    </row>
    <row r="95" spans="1:9" ht="15" customHeight="1">
      <c r="A95" s="19" t="s">
        <v>1271</v>
      </c>
      <c r="B95" s="59" t="s">
        <v>61</v>
      </c>
      <c r="C95" s="76" t="s">
        <v>444</v>
      </c>
      <c r="D95" s="76"/>
      <c r="E95" s="40">
        <f>'Stavební rozpočet'!J435</f>
        <v>0</v>
      </c>
      <c r="F95" s="40">
        <f>'Stavební rozpočet'!K435</f>
        <v>0</v>
      </c>
      <c r="G95" s="40">
        <f>'Stavební rozpočet'!L435</f>
        <v>0</v>
      </c>
      <c r="H95" s="17" t="s">
        <v>1225</v>
      </c>
      <c r="I95" s="40">
        <f t="shared" si="2"/>
        <v>0</v>
      </c>
    </row>
    <row r="96" spans="1:9" ht="15" customHeight="1">
      <c r="A96" s="19" t="s">
        <v>1271</v>
      </c>
      <c r="B96" s="59" t="s">
        <v>1335</v>
      </c>
      <c r="C96" s="76" t="s">
        <v>933</v>
      </c>
      <c r="D96" s="76"/>
      <c r="E96" s="40">
        <f>'Stavební rozpočet'!J437</f>
        <v>0</v>
      </c>
      <c r="F96" s="40">
        <f>'Stavební rozpočet'!K437</f>
        <v>0</v>
      </c>
      <c r="G96" s="40">
        <f>'Stavební rozpočet'!L437</f>
        <v>0</v>
      </c>
      <c r="H96" s="17" t="s">
        <v>1225</v>
      </c>
      <c r="I96" s="40">
        <f t="shared" si="2"/>
        <v>0</v>
      </c>
    </row>
    <row r="97" spans="1:9" ht="15" customHeight="1">
      <c r="A97" s="19" t="s">
        <v>349</v>
      </c>
      <c r="B97" s="59" t="s">
        <v>878</v>
      </c>
      <c r="C97" s="76" t="s">
        <v>483</v>
      </c>
      <c r="D97" s="76"/>
      <c r="E97" s="40">
        <f>'Stavební rozpočet'!J444</f>
        <v>0</v>
      </c>
      <c r="F97" s="40">
        <f>'Stavební rozpočet'!K444</f>
        <v>0</v>
      </c>
      <c r="G97" s="40">
        <f>'Stavební rozpočet'!L444</f>
        <v>0</v>
      </c>
      <c r="H97" s="17" t="s">
        <v>544</v>
      </c>
      <c r="I97" s="40">
        <f t="shared" si="2"/>
        <v>0</v>
      </c>
    </row>
    <row r="98" spans="1:9" ht="15" customHeight="1">
      <c r="A98" s="19" t="s">
        <v>349</v>
      </c>
      <c r="B98" s="59" t="s">
        <v>938</v>
      </c>
      <c r="C98" s="76" t="s">
        <v>314</v>
      </c>
      <c r="D98" s="76"/>
      <c r="E98" s="40">
        <f>'Stavební rozpočet'!J445</f>
        <v>0</v>
      </c>
      <c r="F98" s="40">
        <f>'Stavební rozpočet'!K445</f>
        <v>0</v>
      </c>
      <c r="G98" s="40">
        <f>'Stavební rozpočet'!L445</f>
        <v>0</v>
      </c>
      <c r="H98" s="17" t="s">
        <v>1225</v>
      </c>
      <c r="I98" s="40">
        <f t="shared" si="2"/>
        <v>0</v>
      </c>
    </row>
    <row r="99" spans="1:9" ht="15" customHeight="1">
      <c r="A99" s="19" t="s">
        <v>349</v>
      </c>
      <c r="B99" s="59" t="s">
        <v>368</v>
      </c>
      <c r="C99" s="76" t="s">
        <v>13</v>
      </c>
      <c r="D99" s="76"/>
      <c r="E99" s="40">
        <f>'Stavební rozpočet'!J447</f>
        <v>0</v>
      </c>
      <c r="F99" s="40">
        <f>'Stavební rozpočet'!K447</f>
        <v>0</v>
      </c>
      <c r="G99" s="40">
        <f>'Stavební rozpočet'!L447</f>
        <v>0</v>
      </c>
      <c r="H99" s="17" t="s">
        <v>1225</v>
      </c>
      <c r="I99" s="40">
        <f t="shared" si="2"/>
        <v>0</v>
      </c>
    </row>
    <row r="100" spans="1:9" ht="15" customHeight="1">
      <c r="A100" s="19" t="s">
        <v>349</v>
      </c>
      <c r="B100" s="59" t="s">
        <v>123</v>
      </c>
      <c r="C100" s="76" t="s">
        <v>1052</v>
      </c>
      <c r="D100" s="76"/>
      <c r="E100" s="40">
        <f>'Stavební rozpočet'!J449</f>
        <v>0</v>
      </c>
      <c r="F100" s="40">
        <f>'Stavební rozpočet'!K449</f>
        <v>0</v>
      </c>
      <c r="G100" s="40">
        <f>'Stavební rozpočet'!L449</f>
        <v>0</v>
      </c>
      <c r="H100" s="17" t="s">
        <v>1225</v>
      </c>
      <c r="I100" s="40">
        <f t="shared" si="2"/>
        <v>0</v>
      </c>
    </row>
    <row r="101" spans="1:9" ht="15" customHeight="1">
      <c r="A101" s="19" t="s">
        <v>349</v>
      </c>
      <c r="B101" s="59" t="s">
        <v>885</v>
      </c>
      <c r="C101" s="76" t="s">
        <v>179</v>
      </c>
      <c r="D101" s="76"/>
      <c r="E101" s="40">
        <f>'Stavební rozpočet'!J452</f>
        <v>0</v>
      </c>
      <c r="F101" s="40">
        <f>'Stavební rozpočet'!K452</f>
        <v>0</v>
      </c>
      <c r="G101" s="40">
        <f>'Stavební rozpočet'!L452</f>
        <v>0</v>
      </c>
      <c r="H101" s="17" t="s">
        <v>1225</v>
      </c>
      <c r="I101" s="40">
        <f t="shared" si="2"/>
        <v>0</v>
      </c>
    </row>
    <row r="102" spans="1:9" ht="15" customHeight="1">
      <c r="A102" s="19" t="s">
        <v>349</v>
      </c>
      <c r="B102" s="59" t="s">
        <v>1015</v>
      </c>
      <c r="C102" s="76" t="s">
        <v>1278</v>
      </c>
      <c r="D102" s="76"/>
      <c r="E102" s="40">
        <f>'Stavební rozpočet'!J455</f>
        <v>0</v>
      </c>
      <c r="F102" s="40">
        <f>'Stavební rozpočet'!K455</f>
        <v>0</v>
      </c>
      <c r="G102" s="40">
        <f>'Stavební rozpočet'!L455</f>
        <v>0</v>
      </c>
      <c r="H102" s="17" t="s">
        <v>1225</v>
      </c>
      <c r="I102" s="40">
        <f t="shared" si="2"/>
        <v>0</v>
      </c>
    </row>
    <row r="103" spans="1:9" ht="15" customHeight="1">
      <c r="A103" s="19" t="s">
        <v>349</v>
      </c>
      <c r="B103" s="59" t="s">
        <v>807</v>
      </c>
      <c r="C103" s="76" t="s">
        <v>428</v>
      </c>
      <c r="D103" s="76"/>
      <c r="E103" s="40">
        <f>'Stavební rozpočet'!J458</f>
        <v>0</v>
      </c>
      <c r="F103" s="40">
        <f>'Stavební rozpočet'!K458</f>
        <v>0</v>
      </c>
      <c r="G103" s="40">
        <f>'Stavební rozpočet'!L458</f>
        <v>0</v>
      </c>
      <c r="H103" s="17" t="s">
        <v>1225</v>
      </c>
      <c r="I103" s="40">
        <f t="shared" si="2"/>
        <v>0</v>
      </c>
    </row>
    <row r="104" spans="1:9" ht="15" customHeight="1">
      <c r="A104" s="19" t="s">
        <v>349</v>
      </c>
      <c r="B104" s="59" t="s">
        <v>432</v>
      </c>
      <c r="C104" s="76" t="s">
        <v>991</v>
      </c>
      <c r="D104" s="76"/>
      <c r="E104" s="40">
        <f>'Stavební rozpočet'!J460</f>
        <v>0</v>
      </c>
      <c r="F104" s="40">
        <f>'Stavební rozpočet'!K460</f>
        <v>0</v>
      </c>
      <c r="G104" s="40">
        <f>'Stavební rozpočet'!L460</f>
        <v>0</v>
      </c>
      <c r="H104" s="17" t="s">
        <v>1225</v>
      </c>
      <c r="I104" s="40">
        <f t="shared" si="2"/>
        <v>0</v>
      </c>
    </row>
    <row r="105" spans="1:9" ht="15" customHeight="1">
      <c r="A105" s="19" t="s">
        <v>349</v>
      </c>
      <c r="B105" s="59" t="s">
        <v>63</v>
      </c>
      <c r="C105" s="76" t="s">
        <v>100</v>
      </c>
      <c r="D105" s="76"/>
      <c r="E105" s="40">
        <f>'Stavební rozpočet'!J462</f>
        <v>0</v>
      </c>
      <c r="F105" s="40">
        <f>'Stavební rozpočet'!K462</f>
        <v>0</v>
      </c>
      <c r="G105" s="40">
        <f>'Stavební rozpočet'!L462</f>
        <v>0</v>
      </c>
      <c r="H105" s="17" t="s">
        <v>1225</v>
      </c>
      <c r="I105" s="40">
        <f t="shared" si="2"/>
        <v>0</v>
      </c>
    </row>
    <row r="106" spans="1:9" ht="15" customHeight="1">
      <c r="A106" s="19" t="s">
        <v>349</v>
      </c>
      <c r="B106" s="59" t="s">
        <v>1338</v>
      </c>
      <c r="C106" s="76" t="s">
        <v>823</v>
      </c>
      <c r="D106" s="76"/>
      <c r="E106" s="40">
        <f>'Stavební rozpočet'!J468</f>
        <v>0</v>
      </c>
      <c r="F106" s="40">
        <f>'Stavební rozpočet'!K468</f>
        <v>0</v>
      </c>
      <c r="G106" s="40">
        <f>'Stavební rozpočet'!L468</f>
        <v>0</v>
      </c>
      <c r="H106" s="17" t="s">
        <v>1225</v>
      </c>
      <c r="I106" s="40">
        <f t="shared" si="2"/>
        <v>0</v>
      </c>
    </row>
    <row r="107" spans="1:9" ht="15" customHeight="1">
      <c r="A107" s="19" t="s">
        <v>643</v>
      </c>
      <c r="B107" s="59" t="s">
        <v>878</v>
      </c>
      <c r="C107" s="76" t="s">
        <v>1313</v>
      </c>
      <c r="D107" s="76"/>
      <c r="E107" s="40">
        <f>'Stavební rozpočet'!J474</f>
        <v>0</v>
      </c>
      <c r="F107" s="40">
        <f>'Stavební rozpočet'!K474</f>
        <v>0</v>
      </c>
      <c r="G107" s="40">
        <f>'Stavební rozpočet'!L474</f>
        <v>0</v>
      </c>
      <c r="H107" s="17" t="s">
        <v>544</v>
      </c>
      <c r="I107" s="40">
        <f aca="true" t="shared" si="3" ref="I107:I138">IF(H107="F",0,G107)</f>
        <v>0</v>
      </c>
    </row>
    <row r="108" spans="1:9" ht="15" customHeight="1">
      <c r="A108" s="19" t="s">
        <v>643</v>
      </c>
      <c r="B108" s="59" t="s">
        <v>1054</v>
      </c>
      <c r="C108" s="76" t="s">
        <v>690</v>
      </c>
      <c r="D108" s="76"/>
      <c r="E108" s="40">
        <f>'Stavební rozpočet'!J475</f>
        <v>0</v>
      </c>
      <c r="F108" s="40">
        <f>'Stavební rozpočet'!K475</f>
        <v>0</v>
      </c>
      <c r="G108" s="40">
        <f>'Stavební rozpočet'!L475</f>
        <v>0</v>
      </c>
      <c r="H108" s="17" t="s">
        <v>1225</v>
      </c>
      <c r="I108" s="40">
        <f t="shared" si="3"/>
        <v>0</v>
      </c>
    </row>
    <row r="109" spans="1:9" ht="15" customHeight="1">
      <c r="A109" s="19" t="s">
        <v>643</v>
      </c>
      <c r="B109" s="59" t="s">
        <v>368</v>
      </c>
      <c r="C109" s="76" t="s">
        <v>13</v>
      </c>
      <c r="D109" s="76"/>
      <c r="E109" s="40">
        <f>'Stavební rozpočet'!J477</f>
        <v>0</v>
      </c>
      <c r="F109" s="40">
        <f>'Stavební rozpočet'!K477</f>
        <v>0</v>
      </c>
      <c r="G109" s="40">
        <f>'Stavební rozpočet'!L477</f>
        <v>0</v>
      </c>
      <c r="H109" s="17" t="s">
        <v>1225</v>
      </c>
      <c r="I109" s="40">
        <f t="shared" si="3"/>
        <v>0</v>
      </c>
    </row>
    <row r="110" spans="1:9" ht="15" customHeight="1">
      <c r="A110" s="19" t="s">
        <v>643</v>
      </c>
      <c r="B110" s="59" t="s">
        <v>1015</v>
      </c>
      <c r="C110" s="76" t="s">
        <v>1278</v>
      </c>
      <c r="D110" s="76"/>
      <c r="E110" s="40">
        <f>'Stavební rozpočet'!J479</f>
        <v>0</v>
      </c>
      <c r="F110" s="40">
        <f>'Stavební rozpočet'!K479</f>
        <v>0</v>
      </c>
      <c r="G110" s="40">
        <f>'Stavební rozpočet'!L479</f>
        <v>0</v>
      </c>
      <c r="H110" s="17" t="s">
        <v>1225</v>
      </c>
      <c r="I110" s="40">
        <f t="shared" si="3"/>
        <v>0</v>
      </c>
    </row>
    <row r="111" spans="1:9" ht="15" customHeight="1">
      <c r="A111" s="19" t="s">
        <v>643</v>
      </c>
      <c r="B111" s="59" t="s">
        <v>897</v>
      </c>
      <c r="C111" s="76" t="s">
        <v>425</v>
      </c>
      <c r="D111" s="76"/>
      <c r="E111" s="40">
        <f>'Stavební rozpočet'!J515</f>
        <v>0</v>
      </c>
      <c r="F111" s="40">
        <f>'Stavební rozpočet'!K515</f>
        <v>0</v>
      </c>
      <c r="G111" s="40">
        <f>'Stavební rozpočet'!L515</f>
        <v>0</v>
      </c>
      <c r="H111" s="17" t="s">
        <v>1225</v>
      </c>
      <c r="I111" s="40">
        <f t="shared" si="3"/>
        <v>0</v>
      </c>
    </row>
    <row r="112" spans="1:9" ht="15" customHeight="1">
      <c r="A112" s="19" t="s">
        <v>643</v>
      </c>
      <c r="B112" s="59" t="s">
        <v>233</v>
      </c>
      <c r="C112" s="76" t="s">
        <v>672</v>
      </c>
      <c r="D112" s="76"/>
      <c r="E112" s="40">
        <f>'Stavební rozpočet'!J518</f>
        <v>0</v>
      </c>
      <c r="F112" s="40">
        <f>'Stavební rozpočet'!K518</f>
        <v>0</v>
      </c>
      <c r="G112" s="40">
        <f>'Stavební rozpočet'!L518</f>
        <v>0</v>
      </c>
      <c r="H112" s="17" t="s">
        <v>1225</v>
      </c>
      <c r="I112" s="40">
        <f t="shared" si="3"/>
        <v>0</v>
      </c>
    </row>
    <row r="113" spans="1:9" ht="15" customHeight="1">
      <c r="A113" s="19" t="s">
        <v>643</v>
      </c>
      <c r="B113" s="59" t="s">
        <v>1338</v>
      </c>
      <c r="C113" s="76" t="s">
        <v>823</v>
      </c>
      <c r="D113" s="76"/>
      <c r="E113" s="40">
        <f>'Stavební rozpočet'!J520</f>
        <v>0</v>
      </c>
      <c r="F113" s="40">
        <f>'Stavební rozpočet'!K520</f>
        <v>0</v>
      </c>
      <c r="G113" s="40">
        <f>'Stavební rozpočet'!L520</f>
        <v>0</v>
      </c>
      <c r="H113" s="17" t="s">
        <v>1225</v>
      </c>
      <c r="I113" s="40">
        <f t="shared" si="3"/>
        <v>0</v>
      </c>
    </row>
    <row r="114" spans="1:9" ht="15" customHeight="1">
      <c r="A114" s="19" t="s">
        <v>643</v>
      </c>
      <c r="B114" s="59" t="s">
        <v>932</v>
      </c>
      <c r="C114" s="76" t="s">
        <v>143</v>
      </c>
      <c r="D114" s="76"/>
      <c r="E114" s="40">
        <f>'Stavební rozpočet'!J523</f>
        <v>0</v>
      </c>
      <c r="F114" s="40">
        <f>'Stavební rozpočet'!K523</f>
        <v>0</v>
      </c>
      <c r="G114" s="40">
        <f>'Stavební rozpočet'!L523</f>
        <v>0</v>
      </c>
      <c r="H114" s="17" t="s">
        <v>1225</v>
      </c>
      <c r="I114" s="40">
        <f t="shared" si="3"/>
        <v>0</v>
      </c>
    </row>
    <row r="115" spans="1:9" ht="15" customHeight="1">
      <c r="A115" s="19" t="s">
        <v>643</v>
      </c>
      <c r="B115" s="59" t="s">
        <v>744</v>
      </c>
      <c r="C115" s="76" t="s">
        <v>790</v>
      </c>
      <c r="D115" s="76"/>
      <c r="E115" s="40">
        <f>'Stavební rozpočet'!J525</f>
        <v>0</v>
      </c>
      <c r="F115" s="40">
        <f>'Stavební rozpočet'!K525</f>
        <v>0</v>
      </c>
      <c r="G115" s="40">
        <f>'Stavební rozpočet'!L525</f>
        <v>0</v>
      </c>
      <c r="H115" s="17" t="s">
        <v>1225</v>
      </c>
      <c r="I115" s="40">
        <f t="shared" si="3"/>
        <v>0</v>
      </c>
    </row>
    <row r="116" spans="1:9" ht="15" customHeight="1">
      <c r="A116" s="19" t="s">
        <v>643</v>
      </c>
      <c r="B116" s="59" t="s">
        <v>878</v>
      </c>
      <c r="C116" s="76" t="s">
        <v>752</v>
      </c>
      <c r="D116" s="76"/>
      <c r="E116" s="40">
        <f>'Stavební rozpočet'!J527</f>
        <v>0</v>
      </c>
      <c r="F116" s="40">
        <f>'Stavební rozpočet'!K527</f>
        <v>0</v>
      </c>
      <c r="G116" s="40">
        <f>'Stavební rozpočet'!L527</f>
        <v>0</v>
      </c>
      <c r="H116" s="17" t="s">
        <v>544</v>
      </c>
      <c r="I116" s="40">
        <f t="shared" si="3"/>
        <v>0</v>
      </c>
    </row>
    <row r="117" spans="1:9" ht="15" customHeight="1">
      <c r="A117" s="19" t="s">
        <v>643</v>
      </c>
      <c r="B117" s="59" t="s">
        <v>940</v>
      </c>
      <c r="C117" s="76" t="s">
        <v>581</v>
      </c>
      <c r="D117" s="76"/>
      <c r="E117" s="40">
        <f>'Stavební rozpočet'!J528</f>
        <v>0</v>
      </c>
      <c r="F117" s="40">
        <f>'Stavební rozpočet'!K528</f>
        <v>0</v>
      </c>
      <c r="G117" s="40">
        <f>'Stavební rozpočet'!L528</f>
        <v>0</v>
      </c>
      <c r="H117" s="17" t="s">
        <v>1225</v>
      </c>
      <c r="I117" s="40">
        <f t="shared" si="3"/>
        <v>0</v>
      </c>
    </row>
    <row r="118" spans="1:9" ht="15" customHeight="1">
      <c r="A118" s="19" t="s">
        <v>1121</v>
      </c>
      <c r="B118" s="59" t="s">
        <v>878</v>
      </c>
      <c r="C118" s="76" t="s">
        <v>766</v>
      </c>
      <c r="D118" s="76"/>
      <c r="E118" s="40">
        <f>'Stavební rozpočet'!J531</f>
        <v>0</v>
      </c>
      <c r="F118" s="40">
        <f>'Stavební rozpočet'!K531</f>
        <v>0</v>
      </c>
      <c r="G118" s="40">
        <f>'Stavební rozpočet'!L531</f>
        <v>0</v>
      </c>
      <c r="H118" s="17" t="s">
        <v>544</v>
      </c>
      <c r="I118" s="40">
        <f t="shared" si="3"/>
        <v>0</v>
      </c>
    </row>
    <row r="119" spans="1:9" ht="15" customHeight="1">
      <c r="A119" s="19" t="s">
        <v>1121</v>
      </c>
      <c r="B119" s="59" t="s">
        <v>1054</v>
      </c>
      <c r="C119" s="76" t="s">
        <v>690</v>
      </c>
      <c r="D119" s="76"/>
      <c r="E119" s="40">
        <f>'Stavební rozpočet'!J532</f>
        <v>0</v>
      </c>
      <c r="F119" s="40">
        <f>'Stavební rozpočet'!K532</f>
        <v>0</v>
      </c>
      <c r="G119" s="40">
        <f>'Stavební rozpočet'!L532</f>
        <v>0</v>
      </c>
      <c r="H119" s="17" t="s">
        <v>1225</v>
      </c>
      <c r="I119" s="40">
        <f t="shared" si="3"/>
        <v>0</v>
      </c>
    </row>
    <row r="120" spans="1:9" ht="15" customHeight="1">
      <c r="A120" s="19" t="s">
        <v>1121</v>
      </c>
      <c r="B120" s="59" t="s">
        <v>1203</v>
      </c>
      <c r="C120" s="76" t="s">
        <v>846</v>
      </c>
      <c r="D120" s="76"/>
      <c r="E120" s="40">
        <f>'Stavební rozpočet'!J537</f>
        <v>0</v>
      </c>
      <c r="F120" s="40">
        <f>'Stavební rozpočet'!K537</f>
        <v>0</v>
      </c>
      <c r="G120" s="40">
        <f>'Stavební rozpočet'!L537</f>
        <v>0</v>
      </c>
      <c r="H120" s="17" t="s">
        <v>1225</v>
      </c>
      <c r="I120" s="40">
        <f t="shared" si="3"/>
        <v>0</v>
      </c>
    </row>
    <row r="121" spans="1:9" ht="15" customHeight="1">
      <c r="A121" s="19" t="s">
        <v>1121</v>
      </c>
      <c r="B121" s="59" t="s">
        <v>558</v>
      </c>
      <c r="C121" s="76" t="s">
        <v>1193</v>
      </c>
      <c r="D121" s="76"/>
      <c r="E121" s="40">
        <f>'Stavební rozpočet'!J542</f>
        <v>0</v>
      </c>
      <c r="F121" s="40">
        <f>'Stavební rozpočet'!K542</f>
        <v>0</v>
      </c>
      <c r="G121" s="40">
        <f>'Stavební rozpočet'!L542</f>
        <v>0</v>
      </c>
      <c r="H121" s="17" t="s">
        <v>1225</v>
      </c>
      <c r="I121" s="40">
        <f t="shared" si="3"/>
        <v>0</v>
      </c>
    </row>
    <row r="122" spans="1:9" ht="15" customHeight="1">
      <c r="A122" s="19" t="s">
        <v>1121</v>
      </c>
      <c r="B122" s="59" t="s">
        <v>61</v>
      </c>
      <c r="C122" s="76" t="s">
        <v>444</v>
      </c>
      <c r="D122" s="76"/>
      <c r="E122" s="40">
        <f>'Stavební rozpočet'!J547</f>
        <v>0</v>
      </c>
      <c r="F122" s="40">
        <f>'Stavební rozpočet'!K547</f>
        <v>0</v>
      </c>
      <c r="G122" s="40">
        <f>'Stavební rozpočet'!L547</f>
        <v>0</v>
      </c>
      <c r="H122" s="17" t="s">
        <v>1225</v>
      </c>
      <c r="I122" s="40">
        <f t="shared" si="3"/>
        <v>0</v>
      </c>
    </row>
    <row r="123" spans="1:9" ht="15" customHeight="1">
      <c r="A123" s="19" t="s">
        <v>1121</v>
      </c>
      <c r="B123" s="59" t="s">
        <v>703</v>
      </c>
      <c r="C123" s="76" t="s">
        <v>949</v>
      </c>
      <c r="D123" s="76"/>
      <c r="E123" s="40">
        <f>'Stavební rozpočet'!J557</f>
        <v>0</v>
      </c>
      <c r="F123" s="40">
        <f>'Stavební rozpočet'!K557</f>
        <v>0</v>
      </c>
      <c r="G123" s="40">
        <f>'Stavební rozpočet'!L557</f>
        <v>0</v>
      </c>
      <c r="H123" s="17" t="s">
        <v>1225</v>
      </c>
      <c r="I123" s="40">
        <f t="shared" si="3"/>
        <v>0</v>
      </c>
    </row>
    <row r="124" spans="1:9" ht="15" customHeight="1">
      <c r="A124" s="19" t="s">
        <v>1121</v>
      </c>
      <c r="B124" s="59" t="s">
        <v>441</v>
      </c>
      <c r="C124" s="76" t="s">
        <v>646</v>
      </c>
      <c r="D124" s="76"/>
      <c r="E124" s="40">
        <f>'Stavební rozpočet'!J561</f>
        <v>0</v>
      </c>
      <c r="F124" s="40">
        <f>'Stavební rozpočet'!K561</f>
        <v>0</v>
      </c>
      <c r="G124" s="40">
        <f>'Stavební rozpočet'!L561</f>
        <v>0</v>
      </c>
      <c r="H124" s="17" t="s">
        <v>1225</v>
      </c>
      <c r="I124" s="40">
        <f t="shared" si="3"/>
        <v>0</v>
      </c>
    </row>
    <row r="125" spans="1:9" ht="15" customHeight="1">
      <c r="A125" s="19" t="s">
        <v>1121</v>
      </c>
      <c r="B125" s="59" t="s">
        <v>407</v>
      </c>
      <c r="C125" s="76" t="s">
        <v>528</v>
      </c>
      <c r="D125" s="76"/>
      <c r="E125" s="40">
        <f>'Stavební rozpočet'!J565</f>
        <v>0</v>
      </c>
      <c r="F125" s="40">
        <f>'Stavební rozpočet'!K565</f>
        <v>0</v>
      </c>
      <c r="G125" s="40">
        <f>'Stavební rozpočet'!L565</f>
        <v>0</v>
      </c>
      <c r="H125" s="17" t="s">
        <v>1225</v>
      </c>
      <c r="I125" s="40">
        <f t="shared" si="3"/>
        <v>0</v>
      </c>
    </row>
    <row r="126" spans="1:9" ht="15" customHeight="1">
      <c r="A126" s="19" t="s">
        <v>1121</v>
      </c>
      <c r="B126" s="59" t="s">
        <v>878</v>
      </c>
      <c r="C126" s="76" t="s">
        <v>752</v>
      </c>
      <c r="D126" s="76"/>
      <c r="E126" s="40">
        <f>'Stavební rozpočet'!J570</f>
        <v>0</v>
      </c>
      <c r="F126" s="40">
        <f>'Stavební rozpočet'!K570</f>
        <v>0</v>
      </c>
      <c r="G126" s="40">
        <f>'Stavební rozpočet'!L570</f>
        <v>0</v>
      </c>
      <c r="H126" s="17" t="s">
        <v>544</v>
      </c>
      <c r="I126" s="40">
        <f t="shared" si="3"/>
        <v>0</v>
      </c>
    </row>
    <row r="127" spans="1:9" ht="15" customHeight="1">
      <c r="A127" s="19" t="s">
        <v>1121</v>
      </c>
      <c r="B127" s="59" t="s">
        <v>940</v>
      </c>
      <c r="C127" s="76" t="s">
        <v>581</v>
      </c>
      <c r="D127" s="76"/>
      <c r="E127" s="40">
        <f>'Stavební rozpočet'!J571</f>
        <v>0</v>
      </c>
      <c r="F127" s="40">
        <f>'Stavební rozpočet'!K571</f>
        <v>0</v>
      </c>
      <c r="G127" s="40">
        <f>'Stavební rozpočet'!L571</f>
        <v>0</v>
      </c>
      <c r="H127" s="17" t="s">
        <v>1225</v>
      </c>
      <c r="I127" s="40">
        <f t="shared" si="3"/>
        <v>0</v>
      </c>
    </row>
    <row r="128" spans="1:9" ht="15" customHeight="1">
      <c r="A128" s="19" t="s">
        <v>1121</v>
      </c>
      <c r="B128" s="59" t="s">
        <v>418</v>
      </c>
      <c r="C128" s="76" t="s">
        <v>1086</v>
      </c>
      <c r="D128" s="76"/>
      <c r="E128" s="40">
        <f>'Stavební rozpočet'!J575</f>
        <v>0</v>
      </c>
      <c r="F128" s="40">
        <f>'Stavební rozpočet'!K575</f>
        <v>0</v>
      </c>
      <c r="G128" s="40">
        <f>'Stavební rozpočet'!L575</f>
        <v>0</v>
      </c>
      <c r="H128" s="17" t="s">
        <v>1225</v>
      </c>
      <c r="I128" s="40">
        <f t="shared" si="3"/>
        <v>0</v>
      </c>
    </row>
    <row r="129" spans="1:9" ht="15" customHeight="1">
      <c r="A129" s="19" t="s">
        <v>1121</v>
      </c>
      <c r="B129" s="59" t="s">
        <v>67</v>
      </c>
      <c r="C129" s="76" t="s">
        <v>137</v>
      </c>
      <c r="D129" s="76"/>
      <c r="E129" s="40">
        <f>'Stavební rozpočet'!J577</f>
        <v>0</v>
      </c>
      <c r="F129" s="40">
        <f>'Stavební rozpočet'!K577</f>
        <v>0</v>
      </c>
      <c r="G129" s="40">
        <f>'Stavební rozpočet'!L577</f>
        <v>0</v>
      </c>
      <c r="H129" s="17" t="s">
        <v>1225</v>
      </c>
      <c r="I129" s="40">
        <f t="shared" si="3"/>
        <v>0</v>
      </c>
    </row>
    <row r="130" spans="1:9" ht="15" customHeight="1">
      <c r="A130" s="19" t="s">
        <v>1121</v>
      </c>
      <c r="B130" s="59" t="s">
        <v>408</v>
      </c>
      <c r="C130" s="76" t="s">
        <v>1045</v>
      </c>
      <c r="D130" s="76"/>
      <c r="E130" s="40">
        <f>'Stavební rozpočet'!J580</f>
        <v>0</v>
      </c>
      <c r="F130" s="40">
        <f>'Stavební rozpočet'!K580</f>
        <v>0</v>
      </c>
      <c r="G130" s="40">
        <f>'Stavební rozpočet'!L580</f>
        <v>0</v>
      </c>
      <c r="H130" s="17" t="s">
        <v>1225</v>
      </c>
      <c r="I130" s="40">
        <f t="shared" si="3"/>
        <v>0</v>
      </c>
    </row>
    <row r="131" spans="1:9" ht="15" customHeight="1">
      <c r="A131" s="19" t="s">
        <v>1121</v>
      </c>
      <c r="B131" s="59" t="s">
        <v>935</v>
      </c>
      <c r="C131" s="76" t="s">
        <v>664</v>
      </c>
      <c r="D131" s="76"/>
      <c r="E131" s="40">
        <f>'Stavební rozpočet'!J582</f>
        <v>0</v>
      </c>
      <c r="F131" s="40">
        <f>'Stavební rozpočet'!K582</f>
        <v>0</v>
      </c>
      <c r="G131" s="40">
        <f>'Stavební rozpočet'!L582</f>
        <v>0</v>
      </c>
      <c r="H131" s="17" t="s">
        <v>1225</v>
      </c>
      <c r="I131" s="40">
        <f t="shared" si="3"/>
        <v>0</v>
      </c>
    </row>
    <row r="132" spans="1:9" ht="15" customHeight="1">
      <c r="A132" s="19" t="s">
        <v>683</v>
      </c>
      <c r="B132" s="59" t="s">
        <v>878</v>
      </c>
      <c r="C132" s="76" t="s">
        <v>865</v>
      </c>
      <c r="D132" s="76"/>
      <c r="E132" s="40">
        <f>'Stavební rozpočet'!J585</f>
        <v>0</v>
      </c>
      <c r="F132" s="40">
        <f>'Stavební rozpočet'!K585</f>
        <v>0</v>
      </c>
      <c r="G132" s="40">
        <f>'Stavební rozpočet'!L585</f>
        <v>0</v>
      </c>
      <c r="H132" s="17" t="s">
        <v>544</v>
      </c>
      <c r="I132" s="40">
        <f t="shared" si="3"/>
        <v>0</v>
      </c>
    </row>
    <row r="133" spans="1:9" ht="15" customHeight="1">
      <c r="A133" s="19" t="s">
        <v>683</v>
      </c>
      <c r="B133" s="59" t="s">
        <v>123</v>
      </c>
      <c r="C133" s="76" t="s">
        <v>1052</v>
      </c>
      <c r="D133" s="76"/>
      <c r="E133" s="40">
        <f>'Stavební rozpočet'!J586</f>
        <v>0</v>
      </c>
      <c r="F133" s="40">
        <f>'Stavební rozpočet'!K586</f>
        <v>0</v>
      </c>
      <c r="G133" s="40">
        <f>'Stavební rozpočet'!L586</f>
        <v>0</v>
      </c>
      <c r="H133" s="17" t="s">
        <v>1225</v>
      </c>
      <c r="I133" s="40">
        <f t="shared" si="3"/>
        <v>0</v>
      </c>
    </row>
    <row r="134" spans="1:9" ht="15" customHeight="1">
      <c r="A134" s="19" t="s">
        <v>683</v>
      </c>
      <c r="B134" s="59" t="s">
        <v>885</v>
      </c>
      <c r="C134" s="76" t="s">
        <v>179</v>
      </c>
      <c r="D134" s="76"/>
      <c r="E134" s="40">
        <f>'Stavební rozpočet'!J590</f>
        <v>0</v>
      </c>
      <c r="F134" s="40">
        <f>'Stavební rozpočet'!K590</f>
        <v>0</v>
      </c>
      <c r="G134" s="40">
        <f>'Stavební rozpočet'!L590</f>
        <v>0</v>
      </c>
      <c r="H134" s="17" t="s">
        <v>1225</v>
      </c>
      <c r="I134" s="40">
        <f t="shared" si="3"/>
        <v>0</v>
      </c>
    </row>
    <row r="135" spans="1:9" ht="15" customHeight="1">
      <c r="A135" s="19" t="s">
        <v>683</v>
      </c>
      <c r="B135" s="59" t="s">
        <v>63</v>
      </c>
      <c r="C135" s="76" t="s">
        <v>100</v>
      </c>
      <c r="D135" s="76"/>
      <c r="E135" s="40">
        <f>'Stavební rozpočet'!J592</f>
        <v>0</v>
      </c>
      <c r="F135" s="40">
        <f>'Stavební rozpočet'!K592</f>
        <v>0</v>
      </c>
      <c r="G135" s="40">
        <f>'Stavební rozpočet'!L592</f>
        <v>0</v>
      </c>
      <c r="H135" s="17" t="s">
        <v>1225</v>
      </c>
      <c r="I135" s="40">
        <f t="shared" si="3"/>
        <v>0</v>
      </c>
    </row>
    <row r="136" spans="1:9" ht="15" customHeight="1">
      <c r="A136" s="19" t="s">
        <v>683</v>
      </c>
      <c r="B136" s="59" t="s">
        <v>1338</v>
      </c>
      <c r="C136" s="76" t="s">
        <v>823</v>
      </c>
      <c r="D136" s="76"/>
      <c r="E136" s="40">
        <f>'Stavební rozpočet'!J595</f>
        <v>0</v>
      </c>
      <c r="F136" s="40">
        <f>'Stavební rozpočet'!K595</f>
        <v>0</v>
      </c>
      <c r="G136" s="40">
        <f>'Stavební rozpočet'!L595</f>
        <v>0</v>
      </c>
      <c r="H136" s="17" t="s">
        <v>1225</v>
      </c>
      <c r="I136" s="40">
        <f t="shared" si="3"/>
        <v>0</v>
      </c>
    </row>
    <row r="137" spans="1:9" ht="15" customHeight="1">
      <c r="A137" s="19" t="s">
        <v>683</v>
      </c>
      <c r="B137" s="59" t="s">
        <v>1335</v>
      </c>
      <c r="C137" s="76" t="s">
        <v>933</v>
      </c>
      <c r="D137" s="76"/>
      <c r="E137" s="40">
        <f>'Stavební rozpočet'!J598</f>
        <v>0</v>
      </c>
      <c r="F137" s="40">
        <f>'Stavební rozpočet'!K598</f>
        <v>0</v>
      </c>
      <c r="G137" s="40">
        <f>'Stavební rozpočet'!L598</f>
        <v>0</v>
      </c>
      <c r="H137" s="17" t="s">
        <v>1225</v>
      </c>
      <c r="I137" s="40">
        <f t="shared" si="3"/>
        <v>0</v>
      </c>
    </row>
    <row r="138" spans="6:7" ht="15" customHeight="1">
      <c r="F138" s="49" t="s">
        <v>1010</v>
      </c>
      <c r="G138" s="45">
        <f>SUM(I11:I137)</f>
        <v>0</v>
      </c>
    </row>
  </sheetData>
  <sheetProtection/>
  <mergeCells count="152">
    <mergeCell ref="C132:D132"/>
    <mergeCell ref="C133:D133"/>
    <mergeCell ref="C134:D134"/>
    <mergeCell ref="C135:D135"/>
    <mergeCell ref="C136:D136"/>
    <mergeCell ref="C137:D137"/>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4:D114"/>
    <mergeCell ref="C115:D115"/>
    <mergeCell ref="C116:D116"/>
    <mergeCell ref="C117:D117"/>
    <mergeCell ref="C118:D118"/>
    <mergeCell ref="C119:D119"/>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6:D96"/>
    <mergeCell ref="C97:D97"/>
    <mergeCell ref="C98:D98"/>
    <mergeCell ref="C99:D99"/>
    <mergeCell ref="C100:D100"/>
    <mergeCell ref="C101:D101"/>
    <mergeCell ref="C90:D90"/>
    <mergeCell ref="C91:D91"/>
    <mergeCell ref="C92:D92"/>
    <mergeCell ref="C93:D93"/>
    <mergeCell ref="C94:D94"/>
    <mergeCell ref="C95:D95"/>
    <mergeCell ref="C84:D84"/>
    <mergeCell ref="C85:D85"/>
    <mergeCell ref="C86:D86"/>
    <mergeCell ref="C87:D87"/>
    <mergeCell ref="C88:D88"/>
    <mergeCell ref="C89:D89"/>
    <mergeCell ref="C78:D78"/>
    <mergeCell ref="C79:D79"/>
    <mergeCell ref="C80:D80"/>
    <mergeCell ref="C81:D81"/>
    <mergeCell ref="C82:D82"/>
    <mergeCell ref="C83:D83"/>
    <mergeCell ref="C72:D72"/>
    <mergeCell ref="C73:D73"/>
    <mergeCell ref="C74:D74"/>
    <mergeCell ref="C75:D75"/>
    <mergeCell ref="C76:D76"/>
    <mergeCell ref="C77:D77"/>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E8:E9"/>
    <mergeCell ref="G2:G3"/>
    <mergeCell ref="G4:G5"/>
    <mergeCell ref="G6:G7"/>
    <mergeCell ref="G8:G9"/>
    <mergeCell ref="C11:D11"/>
    <mergeCell ref="F4:F5"/>
    <mergeCell ref="F6:F7"/>
    <mergeCell ref="F8:F9"/>
    <mergeCell ref="C2:C3"/>
    <mergeCell ref="C4:C5"/>
    <mergeCell ref="C6:C7"/>
    <mergeCell ref="C8:C9"/>
    <mergeCell ref="E2:E3"/>
    <mergeCell ref="E4:E5"/>
    <mergeCell ref="E6:E7"/>
    <mergeCell ref="A1:G1"/>
    <mergeCell ref="A2:B3"/>
    <mergeCell ref="A4:B5"/>
    <mergeCell ref="A6:B7"/>
    <mergeCell ref="A8:B9"/>
    <mergeCell ref="D2:D3"/>
    <mergeCell ref="D4:D5"/>
    <mergeCell ref="D6:D7"/>
    <mergeCell ref="D8:D9"/>
    <mergeCell ref="F2:F3"/>
  </mergeCells>
  <printOptions/>
  <pageMargins left="0.394" right="0.394" top="0.591" bottom="0.591" header="0" footer="0"/>
  <pageSetup firstPageNumber="0" useFirstPageNumber="1" fitToHeight="0" fitToWidth="1"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H55"/>
  <sheetViews>
    <sheetView showOutlineSymbols="0" zoomScalePageLayoutView="0" workbookViewId="0" topLeftCell="A1">
      <selection activeCell="A55" sqref="A55:G55"/>
    </sheetView>
  </sheetViews>
  <sheetFormatPr defaultColWidth="14.16015625" defaultRowHeight="15" customHeight="1"/>
  <cols>
    <col min="1" max="2" width="10.66015625" style="0" customWidth="1"/>
    <col min="3" max="3" width="16.66015625" style="0" customWidth="1"/>
    <col min="4" max="4" width="50" style="0" customWidth="1"/>
    <col min="5" max="5" width="96.83203125" style="0" customWidth="1"/>
    <col min="6" max="6" width="28.16015625" style="0" customWidth="1"/>
    <col min="7" max="7" width="18.33203125" style="0" customWidth="1"/>
    <col min="8" max="8" width="23.33203125" style="0" customWidth="1"/>
  </cols>
  <sheetData>
    <row r="1" spans="1:8" ht="54.75" customHeight="1">
      <c r="A1" s="72" t="s">
        <v>1259</v>
      </c>
      <c r="B1" s="72"/>
      <c r="C1" s="72"/>
      <c r="D1" s="72"/>
      <c r="E1" s="72"/>
      <c r="F1" s="72"/>
      <c r="G1" s="72"/>
      <c r="H1" s="72"/>
    </row>
    <row r="2" spans="1:8" ht="15" customHeight="1">
      <c r="A2" s="73" t="s">
        <v>93</v>
      </c>
      <c r="B2" s="74"/>
      <c r="C2" s="80" t="str">
        <f>'Stavební rozpočet'!C2</f>
        <v>Stavební úprava ul. Sokolovská</v>
      </c>
      <c r="D2" s="81"/>
      <c r="E2" s="78" t="s">
        <v>1066</v>
      </c>
      <c r="F2" s="78" t="str">
        <f>'Stavební rozpočet'!J2</f>
        <v> </v>
      </c>
      <c r="G2" s="74"/>
      <c r="H2" s="83"/>
    </row>
    <row r="3" spans="1:8" ht="15" customHeight="1">
      <c r="A3" s="75"/>
      <c r="B3" s="76"/>
      <c r="C3" s="82"/>
      <c r="D3" s="82"/>
      <c r="E3" s="76"/>
      <c r="F3" s="76"/>
      <c r="G3" s="76"/>
      <c r="H3" s="84"/>
    </row>
    <row r="4" spans="1:8" ht="15" customHeight="1">
      <c r="A4" s="77" t="s">
        <v>689</v>
      </c>
      <c r="B4" s="76"/>
      <c r="C4" s="79" t="str">
        <f>'Stavební rozpočet'!C4</f>
        <v>Stavební úprava ulice včetně inž. sítí</v>
      </c>
      <c r="D4" s="76"/>
      <c r="E4" s="79" t="s">
        <v>874</v>
      </c>
      <c r="F4" s="79" t="str">
        <f>'Stavební rozpočet'!J4</f>
        <v>Bau-projekt spol s.r.o. Jan Hyliš</v>
      </c>
      <c r="G4" s="76"/>
      <c r="H4" s="84"/>
    </row>
    <row r="5" spans="1:8" ht="15" customHeight="1">
      <c r="A5" s="75"/>
      <c r="B5" s="76"/>
      <c r="C5" s="76"/>
      <c r="D5" s="76"/>
      <c r="E5" s="76"/>
      <c r="F5" s="76"/>
      <c r="G5" s="76"/>
      <c r="H5" s="84"/>
    </row>
    <row r="6" spans="1:8" ht="15" customHeight="1">
      <c r="A6" s="77" t="s">
        <v>117</v>
      </c>
      <c r="B6" s="76"/>
      <c r="C6" s="79" t="str">
        <f>'Stavební rozpočet'!C6</f>
        <v>Milevsko</v>
      </c>
      <c r="D6" s="76"/>
      <c r="E6" s="79" t="s">
        <v>1103</v>
      </c>
      <c r="F6" s="79" t="str">
        <f>'Stavební rozpočet'!J6</f>
        <v> </v>
      </c>
      <c r="G6" s="76"/>
      <c r="H6" s="84"/>
    </row>
    <row r="7" spans="1:8" ht="15" customHeight="1">
      <c r="A7" s="75"/>
      <c r="B7" s="76"/>
      <c r="C7" s="76"/>
      <c r="D7" s="76"/>
      <c r="E7" s="76"/>
      <c r="F7" s="76"/>
      <c r="G7" s="76"/>
      <c r="H7" s="84"/>
    </row>
    <row r="8" spans="1:8" ht="15" customHeight="1">
      <c r="A8" s="77" t="s">
        <v>843</v>
      </c>
      <c r="B8" s="76"/>
      <c r="C8" s="79" t="str">
        <f>'Stavební rozpočet'!J8</f>
        <v> </v>
      </c>
      <c r="D8" s="76"/>
      <c r="E8" s="79" t="s">
        <v>707</v>
      </c>
      <c r="F8" s="79" t="str">
        <f>'Stavební rozpočet'!G8</f>
        <v>01.06.2023</v>
      </c>
      <c r="G8" s="76"/>
      <c r="H8" s="84"/>
    </row>
    <row r="9" spans="1:8" ht="15" customHeight="1">
      <c r="A9" s="75"/>
      <c r="B9" s="76"/>
      <c r="C9" s="76"/>
      <c r="D9" s="76"/>
      <c r="E9" s="76"/>
      <c r="F9" s="76"/>
      <c r="G9" s="76"/>
      <c r="H9" s="84"/>
    </row>
    <row r="10" spans="1:8" ht="15" customHeight="1">
      <c r="A10" s="6" t="s">
        <v>103</v>
      </c>
      <c r="B10" s="62" t="s">
        <v>946</v>
      </c>
      <c r="C10" s="62" t="s">
        <v>406</v>
      </c>
      <c r="D10" s="103" t="s">
        <v>1370</v>
      </c>
      <c r="E10" s="104"/>
      <c r="F10" s="62" t="s">
        <v>430</v>
      </c>
      <c r="G10" s="52" t="s">
        <v>762</v>
      </c>
      <c r="H10" s="20" t="s">
        <v>1084</v>
      </c>
    </row>
    <row r="11" spans="1:8" ht="15" customHeight="1">
      <c r="A11" s="61" t="s">
        <v>878</v>
      </c>
      <c r="B11" s="10" t="s">
        <v>878</v>
      </c>
      <c r="C11" s="10" t="s">
        <v>1015</v>
      </c>
      <c r="D11" s="92" t="s">
        <v>1278</v>
      </c>
      <c r="E11" s="92"/>
      <c r="F11" s="10" t="s">
        <v>878</v>
      </c>
      <c r="G11" s="33" t="s">
        <v>878</v>
      </c>
      <c r="H11" s="43" t="s">
        <v>878</v>
      </c>
    </row>
    <row r="12" spans="1:8" ht="15" customHeight="1">
      <c r="A12" s="19" t="s">
        <v>1260</v>
      </c>
      <c r="B12" s="59" t="s">
        <v>643</v>
      </c>
      <c r="C12" s="59" t="s">
        <v>518</v>
      </c>
      <c r="D12" s="76" t="s">
        <v>1283</v>
      </c>
      <c r="E12" s="76"/>
      <c r="F12" s="59" t="s">
        <v>312</v>
      </c>
      <c r="G12" s="40">
        <v>10</v>
      </c>
      <c r="H12" s="13">
        <v>0</v>
      </c>
    </row>
    <row r="13" spans="1:8" ht="15" customHeight="1">
      <c r="A13" s="67"/>
      <c r="D13" s="46" t="s">
        <v>733</v>
      </c>
      <c r="E13" s="105" t="s">
        <v>721</v>
      </c>
      <c r="F13" s="105"/>
      <c r="G13" s="14">
        <v>10</v>
      </c>
      <c r="H13" s="2"/>
    </row>
    <row r="14" spans="1:8" ht="27" customHeight="1">
      <c r="A14" s="67"/>
      <c r="C14" s="54" t="s">
        <v>114</v>
      </c>
      <c r="D14" s="93" t="s">
        <v>1315</v>
      </c>
      <c r="E14" s="94"/>
      <c r="F14" s="94"/>
      <c r="G14" s="94"/>
      <c r="H14" s="2"/>
    </row>
    <row r="15" spans="1:8" ht="15" customHeight="1">
      <c r="A15" s="48" t="s">
        <v>878</v>
      </c>
      <c r="B15" s="66" t="s">
        <v>878</v>
      </c>
      <c r="C15" s="66" t="s">
        <v>233</v>
      </c>
      <c r="D15" s="92" t="s">
        <v>672</v>
      </c>
      <c r="E15" s="92"/>
      <c r="F15" s="66" t="s">
        <v>878</v>
      </c>
      <c r="G15" s="11" t="s">
        <v>878</v>
      </c>
      <c r="H15" s="4" t="s">
        <v>878</v>
      </c>
    </row>
    <row r="16" spans="1:8" ht="15" customHeight="1">
      <c r="A16" s="19" t="s">
        <v>873</v>
      </c>
      <c r="B16" s="59" t="s">
        <v>643</v>
      </c>
      <c r="C16" s="59" t="s">
        <v>705</v>
      </c>
      <c r="D16" s="76" t="s">
        <v>635</v>
      </c>
      <c r="E16" s="76"/>
      <c r="F16" s="59" t="s">
        <v>733</v>
      </c>
      <c r="G16" s="40">
        <v>10</v>
      </c>
      <c r="H16" s="13">
        <v>100.00000000000001</v>
      </c>
    </row>
    <row r="17" spans="1:8" ht="15" customHeight="1">
      <c r="A17" s="67"/>
      <c r="D17" s="46" t="s">
        <v>733</v>
      </c>
      <c r="E17" s="105" t="s">
        <v>878</v>
      </c>
      <c r="F17" s="105"/>
      <c r="G17" s="14">
        <v>10</v>
      </c>
      <c r="H17" s="2"/>
    </row>
    <row r="18" spans="1:8" ht="15" customHeight="1">
      <c r="A18" s="48" t="s">
        <v>878</v>
      </c>
      <c r="B18" s="66" t="s">
        <v>878</v>
      </c>
      <c r="C18" s="66" t="s">
        <v>1338</v>
      </c>
      <c r="D18" s="92" t="s">
        <v>823</v>
      </c>
      <c r="E18" s="92"/>
      <c r="F18" s="66" t="s">
        <v>878</v>
      </c>
      <c r="G18" s="11" t="s">
        <v>878</v>
      </c>
      <c r="H18" s="4" t="s">
        <v>878</v>
      </c>
    </row>
    <row r="19" spans="1:8" ht="15" customHeight="1">
      <c r="A19" s="19" t="s">
        <v>1087</v>
      </c>
      <c r="B19" s="59" t="s">
        <v>255</v>
      </c>
      <c r="C19" s="59" t="s">
        <v>900</v>
      </c>
      <c r="D19" s="76" t="s">
        <v>1272</v>
      </c>
      <c r="E19" s="76"/>
      <c r="F19" s="59" t="s">
        <v>312</v>
      </c>
      <c r="G19" s="40">
        <v>4</v>
      </c>
      <c r="H19" s="13">
        <v>0</v>
      </c>
    </row>
    <row r="20" spans="1:8" ht="15" customHeight="1">
      <c r="A20" s="67"/>
      <c r="D20" s="46" t="s">
        <v>152</v>
      </c>
      <c r="E20" s="105" t="s">
        <v>1081</v>
      </c>
      <c r="F20" s="105"/>
      <c r="G20" s="14">
        <v>4</v>
      </c>
      <c r="H20" s="2"/>
    </row>
    <row r="21" spans="1:8" ht="15" customHeight="1">
      <c r="A21" s="19" t="s">
        <v>878</v>
      </c>
      <c r="B21" s="59" t="s">
        <v>878</v>
      </c>
      <c r="C21" s="59" t="s">
        <v>878</v>
      </c>
      <c r="D21" s="46" t="s">
        <v>878</v>
      </c>
      <c r="E21" s="105" t="s">
        <v>105</v>
      </c>
      <c r="F21" s="105"/>
      <c r="G21" s="14">
        <v>0</v>
      </c>
      <c r="H21" s="69" t="s">
        <v>878</v>
      </c>
    </row>
    <row r="22" spans="1:8" ht="15" customHeight="1">
      <c r="A22" s="19" t="s">
        <v>152</v>
      </c>
      <c r="B22" s="59" t="s">
        <v>255</v>
      </c>
      <c r="C22" s="59" t="s">
        <v>125</v>
      </c>
      <c r="D22" s="76" t="s">
        <v>415</v>
      </c>
      <c r="E22" s="76"/>
      <c r="F22" s="59" t="s">
        <v>312</v>
      </c>
      <c r="G22" s="40">
        <v>6.000000000000001</v>
      </c>
      <c r="H22" s="13">
        <v>0</v>
      </c>
    </row>
    <row r="23" spans="1:8" ht="15" customHeight="1">
      <c r="A23" s="67"/>
      <c r="D23" s="46" t="s">
        <v>211</v>
      </c>
      <c r="E23" s="105" t="s">
        <v>55</v>
      </c>
      <c r="F23" s="105"/>
      <c r="G23" s="14">
        <v>6.000000000000001</v>
      </c>
      <c r="H23" s="2"/>
    </row>
    <row r="24" spans="1:8" ht="15" customHeight="1">
      <c r="A24" s="19" t="s">
        <v>878</v>
      </c>
      <c r="B24" s="59" t="s">
        <v>878</v>
      </c>
      <c r="C24" s="59" t="s">
        <v>878</v>
      </c>
      <c r="D24" s="46" t="s">
        <v>878</v>
      </c>
      <c r="E24" s="105" t="s">
        <v>105</v>
      </c>
      <c r="F24" s="105"/>
      <c r="G24" s="14">
        <v>0</v>
      </c>
      <c r="H24" s="69" t="s">
        <v>878</v>
      </c>
    </row>
    <row r="25" spans="1:8" ht="15" customHeight="1">
      <c r="A25" s="19" t="s">
        <v>668</v>
      </c>
      <c r="B25" s="59" t="s">
        <v>255</v>
      </c>
      <c r="C25" s="59" t="s">
        <v>172</v>
      </c>
      <c r="D25" s="76" t="s">
        <v>138</v>
      </c>
      <c r="E25" s="76"/>
      <c r="F25" s="59" t="s">
        <v>312</v>
      </c>
      <c r="G25" s="40">
        <v>6.000000000000001</v>
      </c>
      <c r="H25" s="13">
        <v>0</v>
      </c>
    </row>
    <row r="26" spans="1:8" ht="15" customHeight="1">
      <c r="A26" s="67"/>
      <c r="D26" s="46" t="s">
        <v>211</v>
      </c>
      <c r="E26" s="105" t="s">
        <v>1341</v>
      </c>
      <c r="F26" s="105"/>
      <c r="G26" s="14">
        <v>6.000000000000001</v>
      </c>
      <c r="H26" s="2"/>
    </row>
    <row r="27" spans="1:8" ht="15" customHeight="1">
      <c r="A27" s="19" t="s">
        <v>878</v>
      </c>
      <c r="B27" s="59" t="s">
        <v>878</v>
      </c>
      <c r="C27" s="59" t="s">
        <v>878</v>
      </c>
      <c r="D27" s="46" t="s">
        <v>878</v>
      </c>
      <c r="E27" s="105" t="s">
        <v>105</v>
      </c>
      <c r="F27" s="105"/>
      <c r="G27" s="14">
        <v>0</v>
      </c>
      <c r="H27" s="69" t="s">
        <v>878</v>
      </c>
    </row>
    <row r="28" spans="1:8" ht="15" customHeight="1">
      <c r="A28" s="19" t="s">
        <v>211</v>
      </c>
      <c r="B28" s="59" t="s">
        <v>255</v>
      </c>
      <c r="C28" s="59" t="s">
        <v>673</v>
      </c>
      <c r="D28" s="76" t="s">
        <v>821</v>
      </c>
      <c r="E28" s="76"/>
      <c r="F28" s="59" t="s">
        <v>312</v>
      </c>
      <c r="G28" s="40">
        <v>8</v>
      </c>
      <c r="H28" s="13">
        <v>0</v>
      </c>
    </row>
    <row r="29" spans="1:8" ht="15" customHeight="1">
      <c r="A29" s="19" t="s">
        <v>1262</v>
      </c>
      <c r="B29" s="59" t="s">
        <v>255</v>
      </c>
      <c r="C29" s="59" t="s">
        <v>1148</v>
      </c>
      <c r="D29" s="76" t="s">
        <v>97</v>
      </c>
      <c r="E29" s="76"/>
      <c r="F29" s="59" t="s">
        <v>312</v>
      </c>
      <c r="G29" s="40">
        <v>38</v>
      </c>
      <c r="H29" s="13">
        <v>0</v>
      </c>
    </row>
    <row r="30" spans="1:8" ht="15" customHeight="1">
      <c r="A30" s="19" t="s">
        <v>1009</v>
      </c>
      <c r="B30" s="59" t="s">
        <v>255</v>
      </c>
      <c r="C30" s="59" t="s">
        <v>1256</v>
      </c>
      <c r="D30" s="76" t="s">
        <v>265</v>
      </c>
      <c r="E30" s="76"/>
      <c r="F30" s="59" t="s">
        <v>312</v>
      </c>
      <c r="G30" s="40">
        <v>10</v>
      </c>
      <c r="H30" s="13">
        <v>0</v>
      </c>
    </row>
    <row r="31" spans="1:8" ht="15" customHeight="1">
      <c r="A31" s="19" t="s">
        <v>468</v>
      </c>
      <c r="B31" s="59" t="s">
        <v>255</v>
      </c>
      <c r="C31" s="59" t="s">
        <v>591</v>
      </c>
      <c r="D31" s="76" t="s">
        <v>1100</v>
      </c>
      <c r="E31" s="76"/>
      <c r="F31" s="59" t="s">
        <v>312</v>
      </c>
      <c r="G31" s="40">
        <v>16</v>
      </c>
      <c r="H31" s="13">
        <v>0</v>
      </c>
    </row>
    <row r="32" spans="1:8" ht="15" customHeight="1">
      <c r="A32" s="19" t="s">
        <v>733</v>
      </c>
      <c r="B32" s="59" t="s">
        <v>255</v>
      </c>
      <c r="C32" s="59" t="s">
        <v>486</v>
      </c>
      <c r="D32" s="76" t="s">
        <v>1014</v>
      </c>
      <c r="E32" s="76"/>
      <c r="F32" s="59" t="s">
        <v>312</v>
      </c>
      <c r="G32" s="40">
        <v>65</v>
      </c>
      <c r="H32" s="13">
        <v>0</v>
      </c>
    </row>
    <row r="33" spans="1:8" ht="15" customHeight="1">
      <c r="A33" s="67"/>
      <c r="D33" s="46" t="s">
        <v>685</v>
      </c>
      <c r="E33" s="105" t="s">
        <v>628</v>
      </c>
      <c r="F33" s="105"/>
      <c r="G33" s="14">
        <v>65</v>
      </c>
      <c r="H33" s="2"/>
    </row>
    <row r="34" spans="1:8" ht="15" customHeight="1">
      <c r="A34" s="19" t="s">
        <v>1054</v>
      </c>
      <c r="B34" s="59" t="s">
        <v>255</v>
      </c>
      <c r="C34" s="59" t="s">
        <v>710</v>
      </c>
      <c r="D34" s="76" t="s">
        <v>62</v>
      </c>
      <c r="E34" s="76"/>
      <c r="F34" s="59" t="s">
        <v>312</v>
      </c>
      <c r="G34" s="40">
        <v>16</v>
      </c>
      <c r="H34" s="13">
        <v>0</v>
      </c>
    </row>
    <row r="35" spans="1:8" ht="15" customHeight="1">
      <c r="A35" s="19" t="s">
        <v>938</v>
      </c>
      <c r="B35" s="59" t="s">
        <v>110</v>
      </c>
      <c r="C35" s="59" t="s">
        <v>900</v>
      </c>
      <c r="D35" s="76" t="s">
        <v>1272</v>
      </c>
      <c r="E35" s="76"/>
      <c r="F35" s="59" t="s">
        <v>312</v>
      </c>
      <c r="G35" s="40">
        <v>15.000000000000002</v>
      </c>
      <c r="H35" s="13">
        <v>0</v>
      </c>
    </row>
    <row r="36" spans="1:8" ht="15" customHeight="1">
      <c r="A36" s="67"/>
      <c r="D36" s="46" t="s">
        <v>484</v>
      </c>
      <c r="E36" s="105" t="s">
        <v>105</v>
      </c>
      <c r="F36" s="105"/>
      <c r="G36" s="14">
        <v>15.000000000000002</v>
      </c>
      <c r="H36" s="2"/>
    </row>
    <row r="37" spans="1:8" ht="15" customHeight="1">
      <c r="A37" s="19" t="s">
        <v>878</v>
      </c>
      <c r="B37" s="59" t="s">
        <v>878</v>
      </c>
      <c r="C37" s="59" t="s">
        <v>878</v>
      </c>
      <c r="D37" s="46" t="s">
        <v>878</v>
      </c>
      <c r="E37" s="105" t="s">
        <v>1266</v>
      </c>
      <c r="F37" s="105"/>
      <c r="G37" s="14">
        <v>0</v>
      </c>
      <c r="H37" s="69" t="s">
        <v>878</v>
      </c>
    </row>
    <row r="38" spans="1:8" ht="15" customHeight="1">
      <c r="A38" s="19" t="s">
        <v>878</v>
      </c>
      <c r="B38" s="59" t="s">
        <v>878</v>
      </c>
      <c r="C38" s="59" t="s">
        <v>878</v>
      </c>
      <c r="D38" s="46" t="s">
        <v>878</v>
      </c>
      <c r="E38" s="105" t="s">
        <v>213</v>
      </c>
      <c r="F38" s="105"/>
      <c r="G38" s="14">
        <v>0</v>
      </c>
      <c r="H38" s="69" t="s">
        <v>878</v>
      </c>
    </row>
    <row r="39" spans="1:8" ht="15" customHeight="1">
      <c r="A39" s="19" t="s">
        <v>368</v>
      </c>
      <c r="B39" s="59" t="s">
        <v>110</v>
      </c>
      <c r="C39" s="59" t="s">
        <v>673</v>
      </c>
      <c r="D39" s="76" t="s">
        <v>821</v>
      </c>
      <c r="E39" s="76"/>
      <c r="F39" s="59" t="s">
        <v>312</v>
      </c>
      <c r="G39" s="40">
        <v>3.0000000000000004</v>
      </c>
      <c r="H39" s="13">
        <v>0</v>
      </c>
    </row>
    <row r="40" spans="1:8" ht="15" customHeight="1">
      <c r="A40" s="19" t="s">
        <v>751</v>
      </c>
      <c r="B40" s="59" t="s">
        <v>110</v>
      </c>
      <c r="C40" s="59" t="s">
        <v>591</v>
      </c>
      <c r="D40" s="76" t="s">
        <v>1100</v>
      </c>
      <c r="E40" s="76"/>
      <c r="F40" s="59" t="s">
        <v>312</v>
      </c>
      <c r="G40" s="40">
        <v>17</v>
      </c>
      <c r="H40" s="13">
        <v>0</v>
      </c>
    </row>
    <row r="41" spans="1:8" ht="15" customHeight="1">
      <c r="A41" s="67"/>
      <c r="D41" s="46" t="s">
        <v>699</v>
      </c>
      <c r="E41" s="105" t="s">
        <v>878</v>
      </c>
      <c r="F41" s="105"/>
      <c r="G41" s="14">
        <v>17</v>
      </c>
      <c r="H41" s="2"/>
    </row>
    <row r="42" spans="1:8" ht="15" customHeight="1">
      <c r="A42" s="19" t="s">
        <v>484</v>
      </c>
      <c r="B42" s="59" t="s">
        <v>110</v>
      </c>
      <c r="C42" s="59" t="s">
        <v>486</v>
      </c>
      <c r="D42" s="76" t="s">
        <v>1014</v>
      </c>
      <c r="E42" s="76"/>
      <c r="F42" s="59" t="s">
        <v>312</v>
      </c>
      <c r="G42" s="40">
        <v>33</v>
      </c>
      <c r="H42" s="13">
        <v>0</v>
      </c>
    </row>
    <row r="43" spans="1:8" ht="15" customHeight="1">
      <c r="A43" s="67"/>
      <c r="D43" s="46" t="s">
        <v>51</v>
      </c>
      <c r="E43" s="105" t="s">
        <v>628</v>
      </c>
      <c r="F43" s="105"/>
      <c r="G43" s="14">
        <v>33</v>
      </c>
      <c r="H43" s="2"/>
    </row>
    <row r="44" spans="1:8" ht="15" customHeight="1">
      <c r="A44" s="19" t="s">
        <v>123</v>
      </c>
      <c r="B44" s="59" t="s">
        <v>1271</v>
      </c>
      <c r="C44" s="59" t="s">
        <v>598</v>
      </c>
      <c r="D44" s="76" t="s">
        <v>926</v>
      </c>
      <c r="E44" s="76"/>
      <c r="F44" s="59" t="s">
        <v>312</v>
      </c>
      <c r="G44" s="40">
        <v>6.000000000000001</v>
      </c>
      <c r="H44" s="13">
        <v>0</v>
      </c>
    </row>
    <row r="45" spans="1:8" ht="15" customHeight="1">
      <c r="A45" s="67"/>
      <c r="D45" s="46" t="s">
        <v>211</v>
      </c>
      <c r="E45" s="105" t="s">
        <v>316</v>
      </c>
      <c r="F45" s="105"/>
      <c r="G45" s="14">
        <v>6.000000000000001</v>
      </c>
      <c r="H45" s="2"/>
    </row>
    <row r="46" spans="1:8" ht="15" customHeight="1">
      <c r="A46" s="19" t="s">
        <v>885</v>
      </c>
      <c r="B46" s="59" t="s">
        <v>1271</v>
      </c>
      <c r="C46" s="59" t="s">
        <v>52</v>
      </c>
      <c r="D46" s="76" t="s">
        <v>1235</v>
      </c>
      <c r="E46" s="76"/>
      <c r="F46" s="59" t="s">
        <v>312</v>
      </c>
      <c r="G46" s="40">
        <v>29.500000000000004</v>
      </c>
      <c r="H46" s="13">
        <v>0</v>
      </c>
    </row>
    <row r="47" spans="1:8" ht="15" customHeight="1">
      <c r="A47" s="67"/>
      <c r="D47" s="46" t="s">
        <v>211</v>
      </c>
      <c r="E47" s="105" t="s">
        <v>378</v>
      </c>
      <c r="F47" s="105"/>
      <c r="G47" s="14">
        <v>6.000000000000001</v>
      </c>
      <c r="H47" s="2"/>
    </row>
    <row r="48" spans="1:8" ht="15" customHeight="1">
      <c r="A48" s="19" t="s">
        <v>878</v>
      </c>
      <c r="B48" s="59" t="s">
        <v>878</v>
      </c>
      <c r="C48" s="59" t="s">
        <v>878</v>
      </c>
      <c r="D48" s="46" t="s">
        <v>925</v>
      </c>
      <c r="E48" s="105" t="s">
        <v>887</v>
      </c>
      <c r="F48" s="105"/>
      <c r="G48" s="14">
        <v>23.500000000000004</v>
      </c>
      <c r="H48" s="69" t="s">
        <v>878</v>
      </c>
    </row>
    <row r="49" spans="1:8" ht="15" customHeight="1">
      <c r="A49" s="19" t="s">
        <v>1015</v>
      </c>
      <c r="B49" s="59" t="s">
        <v>1271</v>
      </c>
      <c r="C49" s="59" t="s">
        <v>354</v>
      </c>
      <c r="D49" s="76" t="s">
        <v>350</v>
      </c>
      <c r="E49" s="76"/>
      <c r="F49" s="59" t="s">
        <v>312</v>
      </c>
      <c r="G49" s="40">
        <v>55.00000000000001</v>
      </c>
      <c r="H49" s="13">
        <v>0</v>
      </c>
    </row>
    <row r="50" spans="1:8" ht="15" customHeight="1">
      <c r="A50" s="67"/>
      <c r="D50" s="46" t="s">
        <v>1306</v>
      </c>
      <c r="E50" s="105" t="s">
        <v>878</v>
      </c>
      <c r="F50" s="105"/>
      <c r="G50" s="14">
        <v>55.00000000000001</v>
      </c>
      <c r="H50" s="2"/>
    </row>
    <row r="51" spans="1:8" ht="15" customHeight="1">
      <c r="A51" s="19" t="s">
        <v>807</v>
      </c>
      <c r="B51" s="59" t="s">
        <v>110</v>
      </c>
      <c r="C51" s="59" t="s">
        <v>910</v>
      </c>
      <c r="D51" s="76" t="s">
        <v>784</v>
      </c>
      <c r="E51" s="76"/>
      <c r="F51" s="59" t="s">
        <v>312</v>
      </c>
      <c r="G51" s="40">
        <v>3.0000000000000004</v>
      </c>
      <c r="H51" s="13">
        <v>0</v>
      </c>
    </row>
    <row r="52" spans="1:8" ht="15" customHeight="1">
      <c r="A52" s="56" t="s">
        <v>66</v>
      </c>
      <c r="B52" s="37" t="s">
        <v>110</v>
      </c>
      <c r="C52" s="37" t="s">
        <v>710</v>
      </c>
      <c r="D52" s="96" t="s">
        <v>62</v>
      </c>
      <c r="E52" s="96"/>
      <c r="F52" s="37" t="s">
        <v>312</v>
      </c>
      <c r="G52" s="51">
        <v>15.000000000000002</v>
      </c>
      <c r="H52" s="30">
        <v>0</v>
      </c>
    </row>
    <row r="54" ht="15" customHeight="1">
      <c r="A54" s="5" t="s">
        <v>114</v>
      </c>
    </row>
    <row r="55" spans="1:7" ht="12.75" customHeight="1">
      <c r="A55" s="79" t="s">
        <v>878</v>
      </c>
      <c r="B55" s="76"/>
      <c r="C55" s="76"/>
      <c r="D55" s="76"/>
      <c r="E55" s="76"/>
      <c r="F55" s="76"/>
      <c r="G55" s="76"/>
    </row>
  </sheetData>
  <sheetProtection/>
  <mergeCells count="61">
    <mergeCell ref="D52:E52"/>
    <mergeCell ref="A55:G55"/>
    <mergeCell ref="D46:E46"/>
    <mergeCell ref="E47:F47"/>
    <mergeCell ref="E48:F48"/>
    <mergeCell ref="D49:E49"/>
    <mergeCell ref="E50:F50"/>
    <mergeCell ref="D51:E51"/>
    <mergeCell ref="D40:E40"/>
    <mergeCell ref="E41:F41"/>
    <mergeCell ref="D42:E42"/>
    <mergeCell ref="E43:F43"/>
    <mergeCell ref="D44:E44"/>
    <mergeCell ref="E45:F45"/>
    <mergeCell ref="D34:E34"/>
    <mergeCell ref="D35:E35"/>
    <mergeCell ref="E36:F36"/>
    <mergeCell ref="E37:F37"/>
    <mergeCell ref="E38:F38"/>
    <mergeCell ref="D39:E39"/>
    <mergeCell ref="D28:E28"/>
    <mergeCell ref="D29:E29"/>
    <mergeCell ref="D30:E30"/>
    <mergeCell ref="D31:E31"/>
    <mergeCell ref="D32:E32"/>
    <mergeCell ref="E33:F33"/>
    <mergeCell ref="D22:E22"/>
    <mergeCell ref="E23:F23"/>
    <mergeCell ref="E24:F24"/>
    <mergeCell ref="D25:E25"/>
    <mergeCell ref="E26:F26"/>
    <mergeCell ref="E27:F27"/>
    <mergeCell ref="D16:E16"/>
    <mergeCell ref="E17:F17"/>
    <mergeCell ref="D18:E18"/>
    <mergeCell ref="D19:E19"/>
    <mergeCell ref="E20:F20"/>
    <mergeCell ref="E21:F21"/>
    <mergeCell ref="D10:E10"/>
    <mergeCell ref="D11:E11"/>
    <mergeCell ref="D12:E12"/>
    <mergeCell ref="E13:F13"/>
    <mergeCell ref="D14:G14"/>
    <mergeCell ref="D15:E15"/>
    <mergeCell ref="C4:D5"/>
    <mergeCell ref="C6:D7"/>
    <mergeCell ref="C8:D9"/>
    <mergeCell ref="F2:H3"/>
    <mergeCell ref="F4:H5"/>
    <mergeCell ref="F6:H7"/>
    <mergeCell ref="F8:H9"/>
    <mergeCell ref="A1:H1"/>
    <mergeCell ref="A2:B3"/>
    <mergeCell ref="A4:B5"/>
    <mergeCell ref="A6:B7"/>
    <mergeCell ref="A8:B9"/>
    <mergeCell ref="E2:E3"/>
    <mergeCell ref="E4:E5"/>
    <mergeCell ref="E6:E7"/>
    <mergeCell ref="E8:E9"/>
    <mergeCell ref="C2:D3"/>
  </mergeCells>
  <printOptions/>
  <pageMargins left="0.394" right="0.394" top="0.591" bottom="0.591" header="0" footer="0"/>
  <pageSetup firstPageNumber="0" useFirstPageNumber="1" fitToHeight="0" fitToWidth="1" orientation="landscape"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showOutlineSymbols="0" zoomScalePageLayoutView="0" workbookViewId="0" topLeftCell="A1">
      <selection activeCell="A37" sqref="A37:I37"/>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283</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448</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SUM('Stavební rozpočet'!AB12:AB609)</f>
        <v>0</v>
      </c>
      <c r="D14" s="118" t="s">
        <v>913</v>
      </c>
      <c r="E14" s="119"/>
      <c r="F14" s="27">
        <f>VORN!I15</f>
        <v>0</v>
      </c>
      <c r="G14" s="118" t="s">
        <v>137</v>
      </c>
      <c r="H14" s="119"/>
      <c r="I14" s="53">
        <f>VORN!I21</f>
        <v>0</v>
      </c>
    </row>
    <row r="15" spans="1:9" ht="15" customHeight="1">
      <c r="A15" s="21" t="s">
        <v>878</v>
      </c>
      <c r="B15" s="29" t="s">
        <v>238</v>
      </c>
      <c r="C15" s="27">
        <f>SUM('Stavební rozpočet'!AC12:AC609)</f>
        <v>0</v>
      </c>
      <c r="D15" s="118" t="s">
        <v>132</v>
      </c>
      <c r="E15" s="119"/>
      <c r="F15" s="27">
        <f>VORN!I16</f>
        <v>0</v>
      </c>
      <c r="G15" s="118" t="s">
        <v>1011</v>
      </c>
      <c r="H15" s="119"/>
      <c r="I15" s="53">
        <f>VORN!I22</f>
        <v>0</v>
      </c>
    </row>
    <row r="16" spans="1:9" ht="15" customHeight="1">
      <c r="A16" s="32" t="s">
        <v>126</v>
      </c>
      <c r="B16" s="29" t="s">
        <v>318</v>
      </c>
      <c r="C16" s="27">
        <f>SUM('Stavební rozpočet'!AD12:AD609)</f>
        <v>0</v>
      </c>
      <c r="D16" s="118" t="s">
        <v>944</v>
      </c>
      <c r="E16" s="119"/>
      <c r="F16" s="27">
        <f>VORN!I17</f>
        <v>0</v>
      </c>
      <c r="G16" s="118" t="s">
        <v>1215</v>
      </c>
      <c r="H16" s="119"/>
      <c r="I16" s="53">
        <f>VORN!I23</f>
        <v>0</v>
      </c>
    </row>
    <row r="17" spans="1:9" ht="15" customHeight="1">
      <c r="A17" s="21" t="s">
        <v>878</v>
      </c>
      <c r="B17" s="29" t="s">
        <v>238</v>
      </c>
      <c r="C17" s="27">
        <f>SUM('Stavební rozpočet'!AE12:AE609)</f>
        <v>0</v>
      </c>
      <c r="D17" s="118" t="s">
        <v>878</v>
      </c>
      <c r="E17" s="119"/>
      <c r="F17" s="53" t="s">
        <v>878</v>
      </c>
      <c r="G17" s="118" t="s">
        <v>664</v>
      </c>
      <c r="H17" s="119"/>
      <c r="I17" s="53">
        <f>VORN!I24</f>
        <v>0</v>
      </c>
    </row>
    <row r="18" spans="1:9" ht="15" customHeight="1">
      <c r="A18" s="32" t="s">
        <v>383</v>
      </c>
      <c r="B18" s="29" t="s">
        <v>318</v>
      </c>
      <c r="C18" s="27">
        <f>SUM('Stavební rozpočet'!AF12:AF609)</f>
        <v>0</v>
      </c>
      <c r="D18" s="118" t="s">
        <v>878</v>
      </c>
      <c r="E18" s="119"/>
      <c r="F18" s="53" t="s">
        <v>878</v>
      </c>
      <c r="G18" s="118" t="s">
        <v>825</v>
      </c>
      <c r="H18" s="119"/>
      <c r="I18" s="53">
        <f>VORN!I25</f>
        <v>0</v>
      </c>
    </row>
    <row r="19" spans="1:9" ht="15" customHeight="1">
      <c r="A19" s="21" t="s">
        <v>878</v>
      </c>
      <c r="B19" s="29" t="s">
        <v>238</v>
      </c>
      <c r="C19" s="27">
        <f>SUM('Stavební rozpočet'!AG12:AG609)</f>
        <v>0</v>
      </c>
      <c r="D19" s="118" t="s">
        <v>878</v>
      </c>
      <c r="E19" s="119"/>
      <c r="F19" s="53" t="s">
        <v>878</v>
      </c>
      <c r="G19" s="118" t="s">
        <v>1251</v>
      </c>
      <c r="H19" s="119"/>
      <c r="I19" s="53">
        <f>VORN!I26</f>
        <v>0</v>
      </c>
    </row>
    <row r="20" spans="1:9" ht="15" customHeight="1">
      <c r="A20" s="112" t="s">
        <v>95</v>
      </c>
      <c r="B20" s="113"/>
      <c r="C20" s="27">
        <f>SUM('Stavební rozpočet'!AH12:AH609)</f>
        <v>0</v>
      </c>
      <c r="D20" s="118" t="s">
        <v>878</v>
      </c>
      <c r="E20" s="119"/>
      <c r="F20" s="53" t="s">
        <v>878</v>
      </c>
      <c r="G20" s="118" t="s">
        <v>878</v>
      </c>
      <c r="H20" s="119"/>
      <c r="I20" s="53" t="s">
        <v>878</v>
      </c>
    </row>
    <row r="21" spans="1:9" ht="15" customHeight="1">
      <c r="A21" s="114" t="s">
        <v>1250</v>
      </c>
      <c r="B21" s="115"/>
      <c r="C21" s="68">
        <f>SUM('Stavební rozpočet'!Z12:Z609)</f>
        <v>0</v>
      </c>
      <c r="D21" s="120" t="s">
        <v>878</v>
      </c>
      <c r="E21" s="121"/>
      <c r="F21" s="58" t="s">
        <v>878</v>
      </c>
      <c r="G21" s="120" t="s">
        <v>878</v>
      </c>
      <c r="H21" s="121"/>
      <c r="I21" s="58" t="s">
        <v>878</v>
      </c>
    </row>
    <row r="22" spans="1:9" ht="16.5" customHeight="1">
      <c r="A22" s="116" t="s">
        <v>246</v>
      </c>
      <c r="B22" s="117"/>
      <c r="C22" s="23">
        <f>SUM(C14:C21)</f>
        <v>0</v>
      </c>
      <c r="D22" s="122" t="s">
        <v>640</v>
      </c>
      <c r="E22" s="117"/>
      <c r="F22" s="23">
        <f>SUM(F14:F21)</f>
        <v>0</v>
      </c>
      <c r="G22" s="122" t="s">
        <v>1276</v>
      </c>
      <c r="H22" s="117"/>
      <c r="I22" s="23">
        <f>SUM(I14:I21)</f>
        <v>0</v>
      </c>
    </row>
    <row r="23" spans="4:9" ht="15" customHeight="1">
      <c r="D23" s="112" t="s">
        <v>1016</v>
      </c>
      <c r="E23" s="113"/>
      <c r="F23" s="27">
        <f>'Krycí list rozpočtu (SO)'!F22+'Krycí list rozpočtu (SO 100a)'!F22+'Krycí list rozpočtu (SO 301)'!F22+'Krycí list rozpočtu (SO 302)'!F22+'Krycí list rozpočtu (SO 303)'!F22+'Krycí list rozpočtu (SO 304)'!F22+'Krycí list rozpočtu (SO 305)'!F22+'Krycí list rozpočtu (SO 800)'!F22+'Krycí list rozpočtu (SO100b)'!F22+'Krycí list rozpočtu (SO304.1)'!F22</f>
        <v>0</v>
      </c>
      <c r="G23" s="123" t="s">
        <v>72</v>
      </c>
      <c r="H23" s="113"/>
      <c r="I23" s="27">
        <f>'Krycí list rozpočtu (SO)'!I22+'Krycí list rozpočtu (SO 100a)'!I22+'Krycí list rozpočtu (SO 301)'!I22+'Krycí list rozpočtu (SO 302)'!I22+'Krycí list rozpočtu (SO 303)'!I22+'Krycí list rozpočtu (SO 304)'!I22+'Krycí list rozpočtu (SO 305)'!I22+'Krycí list rozpočtu (SO 800)'!I22+'Krycí list rozpočtu (SO100b)'!I22+'Krycí list rozpočtu (SO304.1)'!I22</f>
        <v>0</v>
      </c>
    </row>
    <row r="24" spans="7:9" ht="15" customHeight="1">
      <c r="G24" s="112" t="s">
        <v>875</v>
      </c>
      <c r="H24" s="113"/>
      <c r="I24" s="68">
        <f>vorn_sum</f>
        <v>0</v>
      </c>
    </row>
    <row r="25" spans="7:9" ht="15" customHeight="1">
      <c r="G25" s="112" t="s">
        <v>985</v>
      </c>
      <c r="H25" s="113"/>
      <c r="I25" s="23">
        <f>'Krycí list rozpočtu (SO)'!I23+'Krycí list rozpočtu (SO 100a)'!I23+'Krycí list rozpočtu (SO 301)'!I23+'Krycí list rozpočtu (SO 302)'!I23+'Krycí list rozpočtu (SO 303)'!I23+'Krycí list rozpočtu (SO 304)'!I23+'Krycí list rozpočtu (SO 305)'!I23+'Krycí list rozpočtu (SO 800)'!I23+'Krycí list rozpočtu (SO100b)'!I23+'Krycí list rozpočtu (SO304.1)'!I23</f>
        <v>0</v>
      </c>
    </row>
    <row r="27" spans="1:3" ht="15" customHeight="1">
      <c r="A27" s="124" t="s">
        <v>498</v>
      </c>
      <c r="B27" s="125"/>
      <c r="C27" s="42">
        <f>SUM('Stavební rozpočet'!AJ12:AJ609)</f>
        <v>0</v>
      </c>
    </row>
    <row r="28" spans="1:9" ht="15" customHeight="1">
      <c r="A28" s="126" t="s">
        <v>33</v>
      </c>
      <c r="B28" s="127"/>
      <c r="C28" s="57">
        <f>SUM('Stavební rozpočet'!AK12:AK609)</f>
        <v>0</v>
      </c>
      <c r="D28" s="125" t="s">
        <v>275</v>
      </c>
      <c r="E28" s="125"/>
      <c r="F28" s="42">
        <f>ROUND(C28*(15/100),2)</f>
        <v>0</v>
      </c>
      <c r="G28" s="125" t="s">
        <v>184</v>
      </c>
      <c r="H28" s="125"/>
      <c r="I28" s="42">
        <f>SUM(C27:C29)</f>
        <v>0</v>
      </c>
    </row>
    <row r="29" spans="1:9" ht="15" customHeight="1">
      <c r="A29" s="126" t="s">
        <v>64</v>
      </c>
      <c r="B29" s="127"/>
      <c r="C29" s="57">
        <f>SUM('Stavební rozpočet'!AL12:AL609)</f>
        <v>0</v>
      </c>
      <c r="D29" s="127" t="s">
        <v>952</v>
      </c>
      <c r="E29" s="127"/>
      <c r="F29" s="57">
        <f>ROUND(C29*(21/100),2)</f>
        <v>0</v>
      </c>
      <c r="G29" s="127" t="s">
        <v>493</v>
      </c>
      <c r="H29" s="127"/>
      <c r="I29" s="57">
        <f>SUM(F28:F29)+I28</f>
        <v>0</v>
      </c>
    </row>
    <row r="31" spans="1:9" ht="15" customHeight="1">
      <c r="A31" s="128" t="s">
        <v>23</v>
      </c>
      <c r="B31" s="129"/>
      <c r="C31" s="130"/>
      <c r="D31" s="129" t="s">
        <v>1201</v>
      </c>
      <c r="E31" s="129"/>
      <c r="F31" s="130"/>
      <c r="G31" s="129" t="s">
        <v>863</v>
      </c>
      <c r="H31" s="129"/>
      <c r="I31" s="130"/>
    </row>
    <row r="32" spans="1:9" ht="15" customHeight="1">
      <c r="A32" s="131" t="s">
        <v>878</v>
      </c>
      <c r="B32" s="120"/>
      <c r="C32" s="132"/>
      <c r="D32" s="120" t="s">
        <v>878</v>
      </c>
      <c r="E32" s="120"/>
      <c r="F32" s="132"/>
      <c r="G32" s="120" t="s">
        <v>878</v>
      </c>
      <c r="H32" s="120"/>
      <c r="I32" s="132"/>
    </row>
    <row r="33" spans="1:9" ht="15" customHeight="1">
      <c r="A33" s="131" t="s">
        <v>878</v>
      </c>
      <c r="B33" s="120"/>
      <c r="C33" s="132"/>
      <c r="D33" s="120" t="s">
        <v>878</v>
      </c>
      <c r="E33" s="120"/>
      <c r="F33" s="132"/>
      <c r="G33" s="120" t="s">
        <v>878</v>
      </c>
      <c r="H33" s="120"/>
      <c r="I33" s="132"/>
    </row>
    <row r="34" spans="1:9" ht="15" customHeight="1">
      <c r="A34" s="131" t="s">
        <v>878</v>
      </c>
      <c r="B34" s="120"/>
      <c r="C34" s="132"/>
      <c r="D34" s="120" t="s">
        <v>878</v>
      </c>
      <c r="E34" s="120"/>
      <c r="F34" s="132"/>
      <c r="G34" s="120" t="s">
        <v>878</v>
      </c>
      <c r="H34" s="120"/>
      <c r="I34" s="132"/>
    </row>
    <row r="35" spans="1:9" ht="15" customHeight="1">
      <c r="A35" s="133" t="s">
        <v>242</v>
      </c>
      <c r="B35" s="134"/>
      <c r="C35" s="135"/>
      <c r="D35" s="134" t="s">
        <v>242</v>
      </c>
      <c r="E35" s="134"/>
      <c r="F35" s="135"/>
      <c r="G35" s="134" t="s">
        <v>242</v>
      </c>
      <c r="H35" s="134"/>
      <c r="I35" s="135"/>
    </row>
    <row r="36" ht="15" customHeight="1">
      <c r="A36" s="5" t="s">
        <v>114</v>
      </c>
    </row>
    <row r="37" spans="1:9" ht="12.75" customHeight="1">
      <c r="A37" s="79" t="s">
        <v>878</v>
      </c>
      <c r="B37" s="76"/>
      <c r="C37" s="76"/>
      <c r="D37" s="76"/>
      <c r="E37" s="76"/>
      <c r="F37" s="76"/>
      <c r="G37" s="76"/>
      <c r="H37" s="76"/>
      <c r="I37" s="76"/>
    </row>
  </sheetData>
  <sheetProtection/>
  <mergeCells count="83">
    <mergeCell ref="G31:I31"/>
    <mergeCell ref="G32:I32"/>
    <mergeCell ref="G33:I33"/>
    <mergeCell ref="G34:I34"/>
    <mergeCell ref="G35:I35"/>
    <mergeCell ref="A37:I37"/>
    <mergeCell ref="A31:C31"/>
    <mergeCell ref="A32:C32"/>
    <mergeCell ref="A33:C33"/>
    <mergeCell ref="A34:C34"/>
    <mergeCell ref="A35:C35"/>
    <mergeCell ref="D31:F31"/>
    <mergeCell ref="D32:F32"/>
    <mergeCell ref="D33:F33"/>
    <mergeCell ref="D34:F34"/>
    <mergeCell ref="D35:F35"/>
    <mergeCell ref="A27:B27"/>
    <mergeCell ref="A28:B28"/>
    <mergeCell ref="A29:B29"/>
    <mergeCell ref="D28:E28"/>
    <mergeCell ref="D29:E29"/>
    <mergeCell ref="G28:H28"/>
    <mergeCell ref="G29:H29"/>
    <mergeCell ref="G20:H20"/>
    <mergeCell ref="G21:H21"/>
    <mergeCell ref="G22:H22"/>
    <mergeCell ref="G23:H23"/>
    <mergeCell ref="G24:H24"/>
    <mergeCell ref="G25:H25"/>
    <mergeCell ref="G14:H14"/>
    <mergeCell ref="G15:H15"/>
    <mergeCell ref="G16:H16"/>
    <mergeCell ref="G17:H17"/>
    <mergeCell ref="G18:H18"/>
    <mergeCell ref="G19:H19"/>
    <mergeCell ref="D18:E18"/>
    <mergeCell ref="D19:E19"/>
    <mergeCell ref="D20:E20"/>
    <mergeCell ref="D21:E21"/>
    <mergeCell ref="D22:E22"/>
    <mergeCell ref="D23:E23"/>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189</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448</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748</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31</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rozpočet'!AI12:AI609,"SO",'Stavební rozpočet'!AB12:AB609)</f>
        <v>0</v>
      </c>
      <c r="D14" s="118" t="s">
        <v>913</v>
      </c>
      <c r="E14" s="119"/>
      <c r="F14" s="27">
        <f>'VORN objektu (SO)'!I15</f>
        <v>0</v>
      </c>
      <c r="G14" s="118" t="s">
        <v>137</v>
      </c>
      <c r="H14" s="119"/>
      <c r="I14" s="53">
        <f>'VORN objektu (SO)'!I21</f>
        <v>0</v>
      </c>
    </row>
    <row r="15" spans="1:9" ht="15" customHeight="1">
      <c r="A15" s="21" t="s">
        <v>878</v>
      </c>
      <c r="B15" s="29" t="s">
        <v>238</v>
      </c>
      <c r="C15" s="27">
        <f>SUMIF('Stavební rozpočet'!AI12:AI609,"SO",'Stavební rozpočet'!AC12:AC609)</f>
        <v>0</v>
      </c>
      <c r="D15" s="118" t="s">
        <v>132</v>
      </c>
      <c r="E15" s="119"/>
      <c r="F15" s="27">
        <f>'VORN objektu (SO)'!I16</f>
        <v>0</v>
      </c>
      <c r="G15" s="118" t="s">
        <v>1011</v>
      </c>
      <c r="H15" s="119"/>
      <c r="I15" s="53">
        <f>'VORN objektu (SO)'!I22</f>
        <v>0</v>
      </c>
    </row>
    <row r="16" spans="1:9" ht="15" customHeight="1">
      <c r="A16" s="32" t="s">
        <v>126</v>
      </c>
      <c r="B16" s="29" t="s">
        <v>318</v>
      </c>
      <c r="C16" s="27">
        <f>SUMIF('Stavební rozpočet'!AI12:AI609,"SO",'Stavební rozpočet'!AD12:AD609)</f>
        <v>0</v>
      </c>
      <c r="D16" s="118" t="s">
        <v>944</v>
      </c>
      <c r="E16" s="119"/>
      <c r="F16" s="27">
        <f>'VORN objektu (SO)'!I17</f>
        <v>0</v>
      </c>
      <c r="G16" s="118" t="s">
        <v>1215</v>
      </c>
      <c r="H16" s="119"/>
      <c r="I16" s="53">
        <f>'VORN objektu (SO)'!I23</f>
        <v>0</v>
      </c>
    </row>
    <row r="17" spans="1:9" ht="15" customHeight="1">
      <c r="A17" s="21" t="s">
        <v>878</v>
      </c>
      <c r="B17" s="29" t="s">
        <v>238</v>
      </c>
      <c r="C17" s="27">
        <f>SUMIF('Stavební rozpočet'!AI12:AI609,"SO",'Stavební rozpočet'!AE12:AE609)</f>
        <v>0</v>
      </c>
      <c r="D17" s="118" t="s">
        <v>878</v>
      </c>
      <c r="E17" s="119"/>
      <c r="F17" s="53" t="s">
        <v>878</v>
      </c>
      <c r="G17" s="118" t="s">
        <v>664</v>
      </c>
      <c r="H17" s="119"/>
      <c r="I17" s="53">
        <f>'VORN objektu (SO)'!I24</f>
        <v>0</v>
      </c>
    </row>
    <row r="18" spans="1:9" ht="15" customHeight="1">
      <c r="A18" s="32" t="s">
        <v>383</v>
      </c>
      <c r="B18" s="29" t="s">
        <v>318</v>
      </c>
      <c r="C18" s="27">
        <f>SUMIF('Stavební rozpočet'!AI12:AI609,"SO",'Stavební rozpočet'!AF12:AF609)</f>
        <v>0</v>
      </c>
      <c r="D18" s="118" t="s">
        <v>878</v>
      </c>
      <c r="E18" s="119"/>
      <c r="F18" s="53" t="s">
        <v>878</v>
      </c>
      <c r="G18" s="118" t="s">
        <v>825</v>
      </c>
      <c r="H18" s="119"/>
      <c r="I18" s="53">
        <f>'VORN objektu (SO)'!I25</f>
        <v>0</v>
      </c>
    </row>
    <row r="19" spans="1:9" ht="15" customHeight="1">
      <c r="A19" s="21" t="s">
        <v>878</v>
      </c>
      <c r="B19" s="29" t="s">
        <v>238</v>
      </c>
      <c r="C19" s="27">
        <f>SUMIF('Stavební rozpočet'!AI12:AI609,"SO",'Stavební rozpočet'!AG12:AG609)</f>
        <v>0</v>
      </c>
      <c r="D19" s="118" t="s">
        <v>878</v>
      </c>
      <c r="E19" s="119"/>
      <c r="F19" s="53" t="s">
        <v>878</v>
      </c>
      <c r="G19" s="118" t="s">
        <v>1251</v>
      </c>
      <c r="H19" s="119"/>
      <c r="I19" s="53">
        <f>'VORN objektu (SO)'!I26</f>
        <v>0</v>
      </c>
    </row>
    <row r="20" spans="1:9" ht="15" customHeight="1">
      <c r="A20" s="112" t="s">
        <v>95</v>
      </c>
      <c r="B20" s="113"/>
      <c r="C20" s="27">
        <f>SUMIF('Stavební rozpočet'!AI12:AI609,"SO",'Stavební rozpočet'!AH12:AH609)</f>
        <v>0</v>
      </c>
      <c r="D20" s="118" t="s">
        <v>878</v>
      </c>
      <c r="E20" s="119"/>
      <c r="F20" s="53" t="s">
        <v>878</v>
      </c>
      <c r="G20" s="118" t="s">
        <v>878</v>
      </c>
      <c r="H20" s="119"/>
      <c r="I20" s="53" t="s">
        <v>878</v>
      </c>
    </row>
    <row r="21" spans="1:9" ht="15" customHeight="1">
      <c r="A21" s="114" t="s">
        <v>1250</v>
      </c>
      <c r="B21" s="115"/>
      <c r="C21" s="27">
        <f>SUMIF('Stavební rozpočet'!AI12:AI609,"SO",'Stavební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23">
        <f>SUM(I14:I21)</f>
        <v>0</v>
      </c>
    </row>
    <row r="23" spans="7:9" ht="15" customHeight="1">
      <c r="G23" s="112" t="s">
        <v>875</v>
      </c>
      <c r="H23" s="113"/>
      <c r="I23" s="27">
        <f>'VORN objektu (SO)'!I36</f>
        <v>0</v>
      </c>
    </row>
    <row r="25" spans="1:3" ht="15" customHeight="1">
      <c r="A25" s="124" t="s">
        <v>498</v>
      </c>
      <c r="B25" s="125"/>
      <c r="C25" s="42">
        <f>('Stavební rozpočet'!AS13+'Stavební rozpočet'!AS16+'Stavební rozpočet'!AS18+'Stavební rozpočet'!AS22+'Stavební rozpočet'!AS25+'Stavební rozpočet'!AS32+'Stavební rozpočet'!AS36+'Stavební rozpočet'!AS44+'Stavební rozpočet'!AS57+'Stavební rozpočet'!AS58+'Stavební rozpočet'!AS60+'Stavební rozpočet'!AS62+'Stavební rozpočet'!AS67)</f>
        <v>0</v>
      </c>
    </row>
    <row r="26" spans="1:9" ht="15" customHeight="1">
      <c r="A26" s="126" t="s">
        <v>33</v>
      </c>
      <c r="B26" s="127"/>
      <c r="C26" s="57">
        <f>('Stavební rozpočet'!AT13+'Stavební rozpočet'!AT16+'Stavební rozpočet'!AT18+'Stavební rozpočet'!AT22+'Stavební rozpočet'!AT25+'Stavební rozpočet'!AT32+'Stavební rozpočet'!AT36+'Stavební rozpočet'!AT44+'Stavební rozpočet'!AT57+'Stavební rozpočet'!AT58+'Stavební rozpočet'!AT60+'Stavební rozpočet'!AT62+'Stavební rozpočet'!AT67)</f>
        <v>0</v>
      </c>
      <c r="D26" s="125" t="s">
        <v>275</v>
      </c>
      <c r="E26" s="125"/>
      <c r="F26" s="42">
        <f>ROUND(C26*(15/100),2)</f>
        <v>0</v>
      </c>
      <c r="G26" s="125" t="s">
        <v>184</v>
      </c>
      <c r="H26" s="125"/>
      <c r="I26" s="42">
        <f>SUM(C25:C27)</f>
        <v>0</v>
      </c>
    </row>
    <row r="27" spans="1:9" ht="15" customHeight="1">
      <c r="A27" s="126" t="s">
        <v>64</v>
      </c>
      <c r="B27" s="127"/>
      <c r="C27" s="57">
        <f>('Stavební rozpočet'!AU13+'Stavební rozpočet'!AU16+'Stavební rozpočet'!AU18+'Stavební rozpočet'!AU22+'Stavební rozpočet'!AU25+'Stavební rozpočet'!AU32+'Stavební rozpočet'!AU36+'Stavební rozpočet'!AU44+'Stavební rozpočet'!AU57+'Stavební rozpočet'!AU58+'Stavební rozpočet'!AU60+'Stavební rozpočet'!AU62+'Stavební rozpočet'!AU67)</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I36"/>
  <sheetViews>
    <sheetView showOutlineSymbols="0" zoomScalePageLayoutView="0" workbookViewId="0" topLeftCell="A1">
      <selection activeCell="A36" sqref="A36:E36"/>
    </sheetView>
  </sheetViews>
  <sheetFormatPr defaultColWidth="14.16015625" defaultRowHeight="15" customHeight="1"/>
  <cols>
    <col min="1" max="1" width="10.66015625" style="0" customWidth="1"/>
    <col min="2" max="2" width="15" style="0" customWidth="1"/>
    <col min="3" max="3" width="26.66015625" style="0" customWidth="1"/>
    <col min="4" max="4" width="11.66015625" style="0" customWidth="1"/>
    <col min="5" max="5" width="16.33203125" style="0" customWidth="1"/>
    <col min="6" max="6" width="26.66015625" style="0" customWidth="1"/>
    <col min="7" max="7" width="10.66015625" style="0" customWidth="1"/>
    <col min="8" max="8" width="20" style="0" customWidth="1"/>
    <col min="9" max="9" width="26.66015625" style="0" customWidth="1"/>
  </cols>
  <sheetData>
    <row r="1" spans="1:9" ht="54.75" customHeight="1">
      <c r="A1" s="106" t="s">
        <v>1118</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31</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3" spans="1:5" ht="15.75" customHeight="1">
      <c r="A13" s="136" t="s">
        <v>461</v>
      </c>
      <c r="B13" s="136"/>
      <c r="C13" s="136"/>
      <c r="D13" s="136"/>
      <c r="E13" s="136"/>
    </row>
    <row r="14" spans="1:9" ht="15" customHeight="1">
      <c r="A14" s="137" t="s">
        <v>1405</v>
      </c>
      <c r="B14" s="138"/>
      <c r="C14" s="138"/>
      <c r="D14" s="138"/>
      <c r="E14" s="139"/>
      <c r="F14" s="7" t="s">
        <v>1299</v>
      </c>
      <c r="G14" s="7" t="s">
        <v>1106</v>
      </c>
      <c r="H14" s="7" t="s">
        <v>307</v>
      </c>
      <c r="I14" s="7" t="s">
        <v>1299</v>
      </c>
    </row>
    <row r="15" spans="1:9" ht="15" customHeight="1">
      <c r="A15" s="100" t="s">
        <v>913</v>
      </c>
      <c r="B15" s="96"/>
      <c r="C15" s="96"/>
      <c r="D15" s="96"/>
      <c r="E15" s="108"/>
      <c r="F15" s="30">
        <v>0</v>
      </c>
      <c r="G15" s="36" t="s">
        <v>878</v>
      </c>
      <c r="H15" s="36" t="s">
        <v>878</v>
      </c>
      <c r="I15" s="30">
        <f>F15</f>
        <v>0</v>
      </c>
    </row>
    <row r="16" spans="1:9" ht="15" customHeight="1">
      <c r="A16" s="100" t="s">
        <v>132</v>
      </c>
      <c r="B16" s="96"/>
      <c r="C16" s="96"/>
      <c r="D16" s="96"/>
      <c r="E16" s="108"/>
      <c r="F16" s="30">
        <v>0</v>
      </c>
      <c r="G16" s="36" t="s">
        <v>878</v>
      </c>
      <c r="H16" s="36" t="s">
        <v>878</v>
      </c>
      <c r="I16" s="30">
        <f>F16</f>
        <v>0</v>
      </c>
    </row>
    <row r="17" spans="1:9" ht="15" customHeight="1">
      <c r="A17" s="75" t="s">
        <v>944</v>
      </c>
      <c r="B17" s="76"/>
      <c r="C17" s="76"/>
      <c r="D17" s="76"/>
      <c r="E17" s="84"/>
      <c r="F17" s="13">
        <v>0</v>
      </c>
      <c r="G17" s="12" t="s">
        <v>878</v>
      </c>
      <c r="H17" s="12" t="s">
        <v>878</v>
      </c>
      <c r="I17" s="13">
        <f>F17</f>
        <v>0</v>
      </c>
    </row>
    <row r="18" spans="1:9" ht="15" customHeight="1">
      <c r="A18" s="140" t="s">
        <v>1348</v>
      </c>
      <c r="B18" s="103"/>
      <c r="C18" s="103"/>
      <c r="D18" s="103"/>
      <c r="E18" s="141"/>
      <c r="F18" s="8" t="s">
        <v>878</v>
      </c>
      <c r="G18" s="9" t="s">
        <v>878</v>
      </c>
      <c r="H18" s="9" t="s">
        <v>878</v>
      </c>
      <c r="I18" s="31">
        <f>SUM(I15:I17)</f>
        <v>0</v>
      </c>
    </row>
    <row r="20" spans="1:9" ht="15" customHeight="1">
      <c r="A20" s="137" t="s">
        <v>229</v>
      </c>
      <c r="B20" s="138"/>
      <c r="C20" s="138"/>
      <c r="D20" s="138"/>
      <c r="E20" s="139"/>
      <c r="F20" s="7" t="s">
        <v>1299</v>
      </c>
      <c r="G20" s="7" t="s">
        <v>1106</v>
      </c>
      <c r="H20" s="7" t="s">
        <v>307</v>
      </c>
      <c r="I20" s="7" t="s">
        <v>1299</v>
      </c>
    </row>
    <row r="21" spans="1:9" ht="15" customHeight="1">
      <c r="A21" s="100" t="s">
        <v>137</v>
      </c>
      <c r="B21" s="96"/>
      <c r="C21" s="96"/>
      <c r="D21" s="96"/>
      <c r="E21" s="108"/>
      <c r="F21" s="30">
        <v>0</v>
      </c>
      <c r="G21" s="36" t="s">
        <v>878</v>
      </c>
      <c r="H21" s="36" t="s">
        <v>878</v>
      </c>
      <c r="I21" s="30">
        <f aca="true" t="shared" si="0" ref="I21:I26">F21</f>
        <v>0</v>
      </c>
    </row>
    <row r="22" spans="1:9" ht="15" customHeight="1">
      <c r="A22" s="100" t="s">
        <v>1011</v>
      </c>
      <c r="B22" s="96"/>
      <c r="C22" s="96"/>
      <c r="D22" s="96"/>
      <c r="E22" s="108"/>
      <c r="F22" s="30">
        <v>0</v>
      </c>
      <c r="G22" s="36" t="s">
        <v>878</v>
      </c>
      <c r="H22" s="36" t="s">
        <v>878</v>
      </c>
      <c r="I22" s="30">
        <f t="shared" si="0"/>
        <v>0</v>
      </c>
    </row>
    <row r="23" spans="1:9" ht="15" customHeight="1">
      <c r="A23" s="100" t="s">
        <v>1215</v>
      </c>
      <c r="B23" s="96"/>
      <c r="C23" s="96"/>
      <c r="D23" s="96"/>
      <c r="E23" s="108"/>
      <c r="F23" s="30">
        <v>0</v>
      </c>
      <c r="G23" s="36" t="s">
        <v>878</v>
      </c>
      <c r="H23" s="36" t="s">
        <v>878</v>
      </c>
      <c r="I23" s="30">
        <f t="shared" si="0"/>
        <v>0</v>
      </c>
    </row>
    <row r="24" spans="1:9" ht="15" customHeight="1">
      <c r="A24" s="100" t="s">
        <v>664</v>
      </c>
      <c r="B24" s="96"/>
      <c r="C24" s="96"/>
      <c r="D24" s="96"/>
      <c r="E24" s="108"/>
      <c r="F24" s="30">
        <v>0</v>
      </c>
      <c r="G24" s="36" t="s">
        <v>878</v>
      </c>
      <c r="H24" s="36" t="s">
        <v>878</v>
      </c>
      <c r="I24" s="30">
        <f t="shared" si="0"/>
        <v>0</v>
      </c>
    </row>
    <row r="25" spans="1:9" ht="15" customHeight="1">
      <c r="A25" s="100" t="s">
        <v>825</v>
      </c>
      <c r="B25" s="96"/>
      <c r="C25" s="96"/>
      <c r="D25" s="96"/>
      <c r="E25" s="108"/>
      <c r="F25" s="30">
        <v>0</v>
      </c>
      <c r="G25" s="36" t="s">
        <v>878</v>
      </c>
      <c r="H25" s="36" t="s">
        <v>878</v>
      </c>
      <c r="I25" s="30">
        <f t="shared" si="0"/>
        <v>0</v>
      </c>
    </row>
    <row r="26" spans="1:9" ht="15" customHeight="1">
      <c r="A26" s="75" t="s">
        <v>1251</v>
      </c>
      <c r="B26" s="76"/>
      <c r="C26" s="76"/>
      <c r="D26" s="76"/>
      <c r="E26" s="84"/>
      <c r="F26" s="13">
        <v>0</v>
      </c>
      <c r="G26" s="12" t="s">
        <v>878</v>
      </c>
      <c r="H26" s="12" t="s">
        <v>878</v>
      </c>
      <c r="I26" s="13">
        <f t="shared" si="0"/>
        <v>0</v>
      </c>
    </row>
    <row r="27" spans="1:9" ht="15" customHeight="1">
      <c r="A27" s="140" t="s">
        <v>494</v>
      </c>
      <c r="B27" s="103"/>
      <c r="C27" s="103"/>
      <c r="D27" s="103"/>
      <c r="E27" s="141"/>
      <c r="F27" s="8" t="s">
        <v>878</v>
      </c>
      <c r="G27" s="9" t="s">
        <v>878</v>
      </c>
      <c r="H27" s="9" t="s">
        <v>878</v>
      </c>
      <c r="I27" s="31">
        <f>SUM(I21:I26)</f>
        <v>0</v>
      </c>
    </row>
    <row r="29" spans="1:9" ht="15.75" customHeight="1">
      <c r="A29" s="142" t="s">
        <v>1314</v>
      </c>
      <c r="B29" s="143"/>
      <c r="C29" s="143"/>
      <c r="D29" s="143"/>
      <c r="E29" s="144"/>
      <c r="F29" s="145">
        <f>I18+I27</f>
        <v>0</v>
      </c>
      <c r="G29" s="146"/>
      <c r="H29" s="146"/>
      <c r="I29" s="147"/>
    </row>
    <row r="33" spans="1:5" ht="15.75" customHeight="1">
      <c r="A33" s="136" t="s">
        <v>40</v>
      </c>
      <c r="B33" s="136"/>
      <c r="C33" s="136"/>
      <c r="D33" s="136"/>
      <c r="E33" s="136"/>
    </row>
    <row r="34" spans="1:9" ht="15" customHeight="1">
      <c r="A34" s="137" t="s">
        <v>26</v>
      </c>
      <c r="B34" s="138"/>
      <c r="C34" s="138"/>
      <c r="D34" s="138"/>
      <c r="E34" s="139"/>
      <c r="F34" s="7" t="s">
        <v>1299</v>
      </c>
      <c r="G34" s="7" t="s">
        <v>1106</v>
      </c>
      <c r="H34" s="7" t="s">
        <v>307</v>
      </c>
      <c r="I34" s="7" t="s">
        <v>1299</v>
      </c>
    </row>
    <row r="35" spans="1:9" ht="15" customHeight="1">
      <c r="A35" s="75" t="s">
        <v>878</v>
      </c>
      <c r="B35" s="76"/>
      <c r="C35" s="76"/>
      <c r="D35" s="76"/>
      <c r="E35" s="84"/>
      <c r="F35" s="13">
        <f>SUM('Stavební rozpočet'!BM12:BM609)</f>
        <v>0</v>
      </c>
      <c r="G35" s="12" t="s">
        <v>878</v>
      </c>
      <c r="H35" s="12" t="s">
        <v>878</v>
      </c>
      <c r="I35" s="13">
        <f>F35</f>
        <v>0</v>
      </c>
    </row>
    <row r="36" spans="1:9" ht="15" customHeight="1">
      <c r="A36" s="140" t="s">
        <v>984</v>
      </c>
      <c r="B36" s="103"/>
      <c r="C36" s="103"/>
      <c r="D36" s="103"/>
      <c r="E36" s="141"/>
      <c r="F36" s="8" t="s">
        <v>878</v>
      </c>
      <c r="G36" s="9" t="s">
        <v>878</v>
      </c>
      <c r="H36" s="9" t="s">
        <v>878</v>
      </c>
      <c r="I36" s="31">
        <f>SUM(I35:I35)</f>
        <v>0</v>
      </c>
    </row>
  </sheetData>
  <sheetProtection/>
  <mergeCells count="51">
    <mergeCell ref="A36:E36"/>
    <mergeCell ref="A27:E27"/>
    <mergeCell ref="A29:E29"/>
    <mergeCell ref="F29:I29"/>
    <mergeCell ref="A33:E33"/>
    <mergeCell ref="A34:E34"/>
    <mergeCell ref="A35:E35"/>
    <mergeCell ref="A21:E21"/>
    <mergeCell ref="A22:E22"/>
    <mergeCell ref="A23:E23"/>
    <mergeCell ref="A24:E24"/>
    <mergeCell ref="A25:E25"/>
    <mergeCell ref="A26:E26"/>
    <mergeCell ref="A14:E14"/>
    <mergeCell ref="A15:E15"/>
    <mergeCell ref="A16:E16"/>
    <mergeCell ref="A17:E17"/>
    <mergeCell ref="A18:E18"/>
    <mergeCell ref="A20:E20"/>
    <mergeCell ref="I2:I3"/>
    <mergeCell ref="I4:I5"/>
    <mergeCell ref="I6:I7"/>
    <mergeCell ref="I8:I9"/>
    <mergeCell ref="I10:I11"/>
    <mergeCell ref="A13:E13"/>
    <mergeCell ref="C2:D3"/>
    <mergeCell ref="C4:D5"/>
    <mergeCell ref="C6:D7"/>
    <mergeCell ref="C8:D9"/>
    <mergeCell ref="C10:D11"/>
    <mergeCell ref="F2:G3"/>
    <mergeCell ref="F4:G5"/>
    <mergeCell ref="F6:G7"/>
    <mergeCell ref="F8:G9"/>
    <mergeCell ref="F10:G11"/>
    <mergeCell ref="E10:E11"/>
    <mergeCell ref="H2:H3"/>
    <mergeCell ref="H4:H5"/>
    <mergeCell ref="H6:H7"/>
    <mergeCell ref="H8:H9"/>
    <mergeCell ref="H10:H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0" fitToWidth="1"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showOutlineSymbols="0" zoomScalePageLayoutView="0" workbookViewId="0" topLeftCell="A1">
      <selection activeCell="A35" sqref="A35:I35"/>
    </sheetView>
  </sheetViews>
  <sheetFormatPr defaultColWidth="14.16015625" defaultRowHeight="15" customHeight="1"/>
  <cols>
    <col min="1" max="1" width="10.66015625" style="0" customWidth="1"/>
    <col min="2" max="2" width="15" style="0" customWidth="1"/>
    <col min="3" max="3" width="31.66015625" style="0" customWidth="1"/>
    <col min="4" max="4" width="11.66015625" style="0" customWidth="1"/>
    <col min="5" max="5" width="16.33203125" style="0" customWidth="1"/>
    <col min="6" max="6" width="31.66015625" style="0" customWidth="1"/>
    <col min="7" max="7" width="10.66015625" style="0" customWidth="1"/>
    <col min="8" max="8" width="15" style="0" customWidth="1"/>
    <col min="9" max="9" width="31.66015625" style="0" customWidth="1"/>
  </cols>
  <sheetData>
    <row r="1" spans="1:9" ht="54.75" customHeight="1">
      <c r="A1" s="106" t="s">
        <v>385</v>
      </c>
      <c r="B1" s="72"/>
      <c r="C1" s="72"/>
      <c r="D1" s="72"/>
      <c r="E1" s="72"/>
      <c r="F1" s="72"/>
      <c r="G1" s="72"/>
      <c r="H1" s="72"/>
      <c r="I1" s="72"/>
    </row>
    <row r="2" spans="1:9" ht="15" customHeight="1">
      <c r="A2" s="73" t="s">
        <v>93</v>
      </c>
      <c r="B2" s="74"/>
      <c r="C2" s="80" t="str">
        <f>'Stavební rozpočet'!C2</f>
        <v>Stavební úprava ul. Sokolovská</v>
      </c>
      <c r="D2" s="81"/>
      <c r="E2" s="78" t="s">
        <v>1066</v>
      </c>
      <c r="F2" s="78" t="str">
        <f>'Stavební rozpočet'!J2</f>
        <v> </v>
      </c>
      <c r="G2" s="74"/>
      <c r="H2" s="78" t="s">
        <v>824</v>
      </c>
      <c r="I2" s="83" t="s">
        <v>878</v>
      </c>
    </row>
    <row r="3" spans="1:9" ht="15" customHeight="1">
      <c r="A3" s="75"/>
      <c r="B3" s="76"/>
      <c r="C3" s="82"/>
      <c r="D3" s="82"/>
      <c r="E3" s="76"/>
      <c r="F3" s="76"/>
      <c r="G3" s="76"/>
      <c r="H3" s="76"/>
      <c r="I3" s="84"/>
    </row>
    <row r="4" spans="1:9" ht="15" customHeight="1">
      <c r="A4" s="77" t="s">
        <v>689</v>
      </c>
      <c r="B4" s="76"/>
      <c r="C4" s="79" t="str">
        <f>'Stavební rozpočet'!C4</f>
        <v>Stavební úprava ulice včetně inž. sítí</v>
      </c>
      <c r="D4" s="76"/>
      <c r="E4" s="79" t="s">
        <v>874</v>
      </c>
      <c r="F4" s="79" t="str">
        <f>'Stavební rozpočet'!J4</f>
        <v>Bau-projekt spol s.r.o. Jan Hyliš</v>
      </c>
      <c r="G4" s="76"/>
      <c r="H4" s="79" t="s">
        <v>824</v>
      </c>
      <c r="I4" s="84" t="s">
        <v>204</v>
      </c>
    </row>
    <row r="5" spans="1:9" ht="15" customHeight="1">
      <c r="A5" s="75"/>
      <c r="B5" s="76"/>
      <c r="C5" s="76"/>
      <c r="D5" s="76"/>
      <c r="E5" s="76"/>
      <c r="F5" s="76"/>
      <c r="G5" s="76"/>
      <c r="H5" s="76"/>
      <c r="I5" s="84"/>
    </row>
    <row r="6" spans="1:9" ht="15" customHeight="1">
      <c r="A6" s="77" t="s">
        <v>117</v>
      </c>
      <c r="B6" s="76"/>
      <c r="C6" s="79" t="str">
        <f>'Stavební rozpočet'!C6</f>
        <v>Milevsko</v>
      </c>
      <c r="D6" s="76"/>
      <c r="E6" s="79" t="s">
        <v>1103</v>
      </c>
      <c r="F6" s="79" t="str">
        <f>'Stavební rozpočet'!J6</f>
        <v> </v>
      </c>
      <c r="G6" s="76"/>
      <c r="H6" s="79" t="s">
        <v>824</v>
      </c>
      <c r="I6" s="84" t="s">
        <v>878</v>
      </c>
    </row>
    <row r="7" spans="1:9" ht="15" customHeight="1">
      <c r="A7" s="75"/>
      <c r="B7" s="76"/>
      <c r="C7" s="76"/>
      <c r="D7" s="76"/>
      <c r="E7" s="76"/>
      <c r="F7" s="76"/>
      <c r="G7" s="76"/>
      <c r="H7" s="76"/>
      <c r="I7" s="84"/>
    </row>
    <row r="8" spans="1:9" ht="15" customHeight="1">
      <c r="A8" s="77" t="s">
        <v>1120</v>
      </c>
      <c r="B8" s="76"/>
      <c r="C8" s="79" t="str">
        <f>'Stavební rozpočet'!G4</f>
        <v>01.08.2023</v>
      </c>
      <c r="D8" s="76"/>
      <c r="E8" s="79" t="s">
        <v>400</v>
      </c>
      <c r="F8" s="79" t="str">
        <f>'Stavební rozpočet'!G6</f>
        <v>31.10.2024</v>
      </c>
      <c r="G8" s="76"/>
      <c r="H8" s="76" t="s">
        <v>1275</v>
      </c>
      <c r="I8" s="107">
        <v>14</v>
      </c>
    </row>
    <row r="9" spans="1:9" ht="15" customHeight="1">
      <c r="A9" s="75"/>
      <c r="B9" s="76"/>
      <c r="C9" s="76"/>
      <c r="D9" s="76"/>
      <c r="E9" s="76"/>
      <c r="F9" s="76"/>
      <c r="G9" s="76"/>
      <c r="H9" s="76"/>
      <c r="I9" s="84"/>
    </row>
    <row r="10" spans="1:9" ht="15" customHeight="1">
      <c r="A10" s="77" t="s">
        <v>602</v>
      </c>
      <c r="B10" s="76"/>
      <c r="C10" s="79" t="str">
        <f>'Stavební rozpočet'!C8</f>
        <v> </v>
      </c>
      <c r="D10" s="76"/>
      <c r="E10" s="79" t="s">
        <v>843</v>
      </c>
      <c r="F10" s="79" t="str">
        <f>'Stavební rozpočet'!J8</f>
        <v> </v>
      </c>
      <c r="G10" s="76"/>
      <c r="H10" s="76" t="s">
        <v>1232</v>
      </c>
      <c r="I10" s="102" t="str">
        <f>'Stavební rozpočet'!G8</f>
        <v>01.06.2023</v>
      </c>
    </row>
    <row r="11" spans="1:9" ht="15" customHeight="1">
      <c r="A11" s="100"/>
      <c r="B11" s="96"/>
      <c r="C11" s="96"/>
      <c r="D11" s="96"/>
      <c r="E11" s="96"/>
      <c r="F11" s="96"/>
      <c r="G11" s="96"/>
      <c r="H11" s="96"/>
      <c r="I11" s="108"/>
    </row>
    <row r="12" spans="1:9" ht="22.5" customHeight="1">
      <c r="A12" s="109" t="s">
        <v>212</v>
      </c>
      <c r="B12" s="109"/>
      <c r="C12" s="109"/>
      <c r="D12" s="109"/>
      <c r="E12" s="109"/>
      <c r="F12" s="109"/>
      <c r="G12" s="109"/>
      <c r="H12" s="109"/>
      <c r="I12" s="109"/>
    </row>
    <row r="13" spans="1:9" ht="26.25" customHeight="1">
      <c r="A13" s="44" t="s">
        <v>1131</v>
      </c>
      <c r="B13" s="110" t="s">
        <v>162</v>
      </c>
      <c r="C13" s="111"/>
      <c r="D13" s="16" t="s">
        <v>226</v>
      </c>
      <c r="E13" s="110" t="s">
        <v>446</v>
      </c>
      <c r="F13" s="111"/>
      <c r="G13" s="16" t="s">
        <v>809</v>
      </c>
      <c r="H13" s="110" t="s">
        <v>229</v>
      </c>
      <c r="I13" s="111"/>
    </row>
    <row r="14" spans="1:9" ht="15" customHeight="1">
      <c r="A14" s="32" t="s">
        <v>458</v>
      </c>
      <c r="B14" s="29" t="s">
        <v>318</v>
      </c>
      <c r="C14" s="27">
        <f>SUMIF('Stavební rozpočet'!AI12:AI609,"SO 100a",'Stavební rozpočet'!AB12:AB609)</f>
        <v>0</v>
      </c>
      <c r="D14" s="118" t="s">
        <v>913</v>
      </c>
      <c r="E14" s="119"/>
      <c r="F14" s="27">
        <f>'VORN objektu (SO 100a)'!I15</f>
        <v>0</v>
      </c>
      <c r="G14" s="118" t="s">
        <v>137</v>
      </c>
      <c r="H14" s="119"/>
      <c r="I14" s="53">
        <f>'VORN objektu (SO 100a)'!I21</f>
        <v>0</v>
      </c>
    </row>
    <row r="15" spans="1:9" ht="15" customHeight="1">
      <c r="A15" s="21" t="s">
        <v>878</v>
      </c>
      <c r="B15" s="29" t="s">
        <v>238</v>
      </c>
      <c r="C15" s="27">
        <f>SUMIF('Stavební rozpočet'!AI12:AI609,"SO 100a",'Stavební rozpočet'!AC12:AC609)</f>
        <v>0</v>
      </c>
      <c r="D15" s="118" t="s">
        <v>132</v>
      </c>
      <c r="E15" s="119"/>
      <c r="F15" s="27">
        <f>'VORN objektu (SO 100a)'!I16</f>
        <v>0</v>
      </c>
      <c r="G15" s="118" t="s">
        <v>1011</v>
      </c>
      <c r="H15" s="119"/>
      <c r="I15" s="53">
        <f>'VORN objektu (SO 100a)'!I22</f>
        <v>0</v>
      </c>
    </row>
    <row r="16" spans="1:9" ht="15" customHeight="1">
      <c r="A16" s="32" t="s">
        <v>126</v>
      </c>
      <c r="B16" s="29" t="s">
        <v>318</v>
      </c>
      <c r="C16" s="27">
        <f>SUMIF('Stavební rozpočet'!AI12:AI609,"SO 100a",'Stavební rozpočet'!AD12:AD609)</f>
        <v>0</v>
      </c>
      <c r="D16" s="118" t="s">
        <v>944</v>
      </c>
      <c r="E16" s="119"/>
      <c r="F16" s="27">
        <f>'VORN objektu (SO 100a)'!I17</f>
        <v>0</v>
      </c>
      <c r="G16" s="118" t="s">
        <v>1215</v>
      </c>
      <c r="H16" s="119"/>
      <c r="I16" s="53">
        <f>'VORN objektu (SO 100a)'!I23</f>
        <v>0</v>
      </c>
    </row>
    <row r="17" spans="1:9" ht="15" customHeight="1">
      <c r="A17" s="21" t="s">
        <v>878</v>
      </c>
      <c r="B17" s="29" t="s">
        <v>238</v>
      </c>
      <c r="C17" s="27">
        <f>SUMIF('Stavební rozpočet'!AI12:AI609,"SO 100a",'Stavební rozpočet'!AE12:AE609)</f>
        <v>0</v>
      </c>
      <c r="D17" s="118" t="s">
        <v>878</v>
      </c>
      <c r="E17" s="119"/>
      <c r="F17" s="53" t="s">
        <v>878</v>
      </c>
      <c r="G17" s="118" t="s">
        <v>664</v>
      </c>
      <c r="H17" s="119"/>
      <c r="I17" s="53">
        <f>'VORN objektu (SO 100a)'!I24</f>
        <v>0</v>
      </c>
    </row>
    <row r="18" spans="1:9" ht="15" customHeight="1">
      <c r="A18" s="32" t="s">
        <v>383</v>
      </c>
      <c r="B18" s="29" t="s">
        <v>318</v>
      </c>
      <c r="C18" s="27">
        <f>SUMIF('Stavební rozpočet'!AI12:AI609,"SO 100a",'Stavební rozpočet'!AF12:AF609)</f>
        <v>0</v>
      </c>
      <c r="D18" s="118" t="s">
        <v>878</v>
      </c>
      <c r="E18" s="119"/>
      <c r="F18" s="53" t="s">
        <v>878</v>
      </c>
      <c r="G18" s="118" t="s">
        <v>825</v>
      </c>
      <c r="H18" s="119"/>
      <c r="I18" s="53">
        <f>'VORN objektu (SO 100a)'!I25</f>
        <v>0</v>
      </c>
    </row>
    <row r="19" spans="1:9" ht="15" customHeight="1">
      <c r="A19" s="21" t="s">
        <v>878</v>
      </c>
      <c r="B19" s="29" t="s">
        <v>238</v>
      </c>
      <c r="C19" s="27">
        <f>SUMIF('Stavební rozpočet'!AI12:AI609,"SO 100a",'Stavební rozpočet'!AG12:AG609)</f>
        <v>0</v>
      </c>
      <c r="D19" s="118" t="s">
        <v>878</v>
      </c>
      <c r="E19" s="119"/>
      <c r="F19" s="53" t="s">
        <v>878</v>
      </c>
      <c r="G19" s="118" t="s">
        <v>1251</v>
      </c>
      <c r="H19" s="119"/>
      <c r="I19" s="53">
        <f>'VORN objektu (SO 100a)'!I26</f>
        <v>0</v>
      </c>
    </row>
    <row r="20" spans="1:9" ht="15" customHeight="1">
      <c r="A20" s="112" t="s">
        <v>95</v>
      </c>
      <c r="B20" s="113"/>
      <c r="C20" s="27">
        <f>SUMIF('Stavební rozpočet'!AI12:AI609,"SO 100a",'Stavební rozpočet'!AH12:AH609)</f>
        <v>0</v>
      </c>
      <c r="D20" s="118" t="s">
        <v>878</v>
      </c>
      <c r="E20" s="119"/>
      <c r="F20" s="53" t="s">
        <v>878</v>
      </c>
      <c r="G20" s="118" t="s">
        <v>878</v>
      </c>
      <c r="H20" s="119"/>
      <c r="I20" s="53" t="s">
        <v>878</v>
      </c>
    </row>
    <row r="21" spans="1:9" ht="15" customHeight="1">
      <c r="A21" s="114" t="s">
        <v>1250</v>
      </c>
      <c r="B21" s="115"/>
      <c r="C21" s="27">
        <f>SUMIF('Stavební rozpočet'!AI12:AI609,"SO 100a",'Stavební rozpočet'!Z12:Z609)</f>
        <v>0</v>
      </c>
      <c r="D21" s="120" t="s">
        <v>878</v>
      </c>
      <c r="E21" s="121"/>
      <c r="F21" s="58" t="s">
        <v>878</v>
      </c>
      <c r="G21" s="120" t="s">
        <v>878</v>
      </c>
      <c r="H21" s="121"/>
      <c r="I21" s="58" t="s">
        <v>878</v>
      </c>
    </row>
    <row r="22" spans="1:9" ht="16.5" customHeight="1">
      <c r="A22" s="116" t="s">
        <v>246</v>
      </c>
      <c r="B22" s="117"/>
      <c r="C22" s="27">
        <f>SUM(C14:C21)</f>
        <v>0</v>
      </c>
      <c r="D22" s="122" t="s">
        <v>640</v>
      </c>
      <c r="E22" s="117"/>
      <c r="F22" s="23">
        <f>SUM(F14:F21)</f>
        <v>0</v>
      </c>
      <c r="G22" s="122" t="s">
        <v>1276</v>
      </c>
      <c r="H22" s="117"/>
      <c r="I22" s="23">
        <f>SUM(I14:I21)</f>
        <v>0</v>
      </c>
    </row>
    <row r="23" spans="7:9" ht="15" customHeight="1">
      <c r="G23" s="112" t="s">
        <v>875</v>
      </c>
      <c r="H23" s="113"/>
      <c r="I23" s="27">
        <f>'VORN objektu (SO 100a)'!I36</f>
        <v>0</v>
      </c>
    </row>
    <row r="25" spans="1:3" ht="15" customHeight="1">
      <c r="A25" s="124" t="s">
        <v>498</v>
      </c>
      <c r="B25" s="125"/>
      <c r="C25" s="42">
        <f>('Stavební rozpočet'!AS70+'Stavební rozpočet'!AS72+'Stavební rozpočet'!AS74+'Stavební rozpočet'!AS77+'Stavební rozpočet'!AS79+'Stavební rozpočet'!AS82+'Stavební rozpočet'!AS87+'Stavební rozpočet'!AS90)</f>
        <v>0</v>
      </c>
    </row>
    <row r="26" spans="1:9" ht="15" customHeight="1">
      <c r="A26" s="126" t="s">
        <v>33</v>
      </c>
      <c r="B26" s="127"/>
      <c r="C26" s="57">
        <f>('Stavební rozpočet'!AT70+'Stavební rozpočet'!AT72+'Stavební rozpočet'!AT74+'Stavební rozpočet'!AT77+'Stavební rozpočet'!AT79+'Stavební rozpočet'!AT82+'Stavební rozpočet'!AT87+'Stavební rozpočet'!AT90)</f>
        <v>0</v>
      </c>
      <c r="D26" s="125" t="s">
        <v>275</v>
      </c>
      <c r="E26" s="125"/>
      <c r="F26" s="42">
        <f>ROUND(C26*(15/100),2)</f>
        <v>0</v>
      </c>
      <c r="G26" s="125" t="s">
        <v>184</v>
      </c>
      <c r="H26" s="125"/>
      <c r="I26" s="42">
        <f>SUM(C25:C27)</f>
        <v>0</v>
      </c>
    </row>
    <row r="27" spans="1:9" ht="15" customHeight="1">
      <c r="A27" s="126" t="s">
        <v>64</v>
      </c>
      <c r="B27" s="127"/>
      <c r="C27" s="57">
        <f>('Stavební rozpočet'!AU70+'Stavební rozpočet'!AU72+'Stavební rozpočet'!AU74+'Stavební rozpočet'!AU77+'Stavební rozpočet'!AU79+'Stavební rozpočet'!AU82+'Stavební rozpočet'!AU87+'Stavební rozpočet'!AU90)</f>
        <v>0</v>
      </c>
      <c r="D27" s="127" t="s">
        <v>952</v>
      </c>
      <c r="E27" s="127"/>
      <c r="F27" s="57">
        <f>ROUND(C27*(21/100),2)</f>
        <v>0</v>
      </c>
      <c r="G27" s="127" t="s">
        <v>493</v>
      </c>
      <c r="H27" s="127"/>
      <c r="I27" s="57">
        <f>SUM(F26:F27)+I26</f>
        <v>0</v>
      </c>
    </row>
    <row r="29" spans="1:9" ht="15" customHeight="1">
      <c r="A29" s="128" t="s">
        <v>23</v>
      </c>
      <c r="B29" s="129"/>
      <c r="C29" s="130"/>
      <c r="D29" s="129" t="s">
        <v>1201</v>
      </c>
      <c r="E29" s="129"/>
      <c r="F29" s="130"/>
      <c r="G29" s="129" t="s">
        <v>863</v>
      </c>
      <c r="H29" s="129"/>
      <c r="I29" s="130"/>
    </row>
    <row r="30" spans="1:9" ht="15" customHeight="1">
      <c r="A30" s="131" t="s">
        <v>878</v>
      </c>
      <c r="B30" s="120"/>
      <c r="C30" s="132"/>
      <c r="D30" s="120" t="s">
        <v>878</v>
      </c>
      <c r="E30" s="120"/>
      <c r="F30" s="132"/>
      <c r="G30" s="120" t="s">
        <v>878</v>
      </c>
      <c r="H30" s="120"/>
      <c r="I30" s="132"/>
    </row>
    <row r="31" spans="1:9" ht="15" customHeight="1">
      <c r="A31" s="131" t="s">
        <v>878</v>
      </c>
      <c r="B31" s="120"/>
      <c r="C31" s="132"/>
      <c r="D31" s="120" t="s">
        <v>878</v>
      </c>
      <c r="E31" s="120"/>
      <c r="F31" s="132"/>
      <c r="G31" s="120" t="s">
        <v>878</v>
      </c>
      <c r="H31" s="120"/>
      <c r="I31" s="132"/>
    </row>
    <row r="32" spans="1:9" ht="15" customHeight="1">
      <c r="A32" s="131" t="s">
        <v>878</v>
      </c>
      <c r="B32" s="120"/>
      <c r="C32" s="132"/>
      <c r="D32" s="120" t="s">
        <v>878</v>
      </c>
      <c r="E32" s="120"/>
      <c r="F32" s="132"/>
      <c r="G32" s="120" t="s">
        <v>878</v>
      </c>
      <c r="H32" s="120"/>
      <c r="I32" s="132"/>
    </row>
    <row r="33" spans="1:9" ht="15" customHeight="1">
      <c r="A33" s="133" t="s">
        <v>242</v>
      </c>
      <c r="B33" s="134"/>
      <c r="C33" s="135"/>
      <c r="D33" s="134" t="s">
        <v>242</v>
      </c>
      <c r="E33" s="134"/>
      <c r="F33" s="135"/>
      <c r="G33" s="134" t="s">
        <v>242</v>
      </c>
      <c r="H33" s="134"/>
      <c r="I33" s="135"/>
    </row>
    <row r="34" ht="15" customHeight="1">
      <c r="A34" s="5" t="s">
        <v>114</v>
      </c>
    </row>
    <row r="35" spans="1:9" ht="12.75" customHeight="1">
      <c r="A35" s="79" t="s">
        <v>878</v>
      </c>
      <c r="B35" s="76"/>
      <c r="C35" s="76"/>
      <c r="D35" s="76"/>
      <c r="E35" s="76"/>
      <c r="F35" s="76"/>
      <c r="G35" s="76"/>
      <c r="H35" s="76"/>
      <c r="I35" s="76"/>
    </row>
  </sheetData>
  <sheetProtection/>
  <mergeCells count="80">
    <mergeCell ref="G29:I29"/>
    <mergeCell ref="G30:I30"/>
    <mergeCell ref="G31:I31"/>
    <mergeCell ref="G32:I32"/>
    <mergeCell ref="G33:I33"/>
    <mergeCell ref="A35:I35"/>
    <mergeCell ref="A29:C29"/>
    <mergeCell ref="A30:C30"/>
    <mergeCell ref="A31:C31"/>
    <mergeCell ref="A32:C32"/>
    <mergeCell ref="A33:C33"/>
    <mergeCell ref="D29:F29"/>
    <mergeCell ref="D30:F30"/>
    <mergeCell ref="D31:F31"/>
    <mergeCell ref="D32:F32"/>
    <mergeCell ref="D33:F33"/>
    <mergeCell ref="A26:B26"/>
    <mergeCell ref="A27:B27"/>
    <mergeCell ref="D26:E26"/>
    <mergeCell ref="D27:E27"/>
    <mergeCell ref="G26:H26"/>
    <mergeCell ref="G27:H27"/>
    <mergeCell ref="G19:H19"/>
    <mergeCell ref="G20:H20"/>
    <mergeCell ref="G21:H21"/>
    <mergeCell ref="G22:H22"/>
    <mergeCell ref="G23:H23"/>
    <mergeCell ref="A25:B25"/>
    <mergeCell ref="D18:E18"/>
    <mergeCell ref="D19:E19"/>
    <mergeCell ref="D20:E20"/>
    <mergeCell ref="D21:E21"/>
    <mergeCell ref="D22:E22"/>
    <mergeCell ref="G14:H14"/>
    <mergeCell ref="G15:H15"/>
    <mergeCell ref="G16:H16"/>
    <mergeCell ref="G17:H17"/>
    <mergeCell ref="G18:H18"/>
    <mergeCell ref="B13:C13"/>
    <mergeCell ref="E13:F13"/>
    <mergeCell ref="H13:I13"/>
    <mergeCell ref="A20:B20"/>
    <mergeCell ref="A21:B21"/>
    <mergeCell ref="A22:B22"/>
    <mergeCell ref="D14:E14"/>
    <mergeCell ref="D15:E15"/>
    <mergeCell ref="D16:E16"/>
    <mergeCell ref="D17:E17"/>
    <mergeCell ref="I2:I3"/>
    <mergeCell ref="I4:I5"/>
    <mergeCell ref="I6:I7"/>
    <mergeCell ref="I8:I9"/>
    <mergeCell ref="I10:I11"/>
    <mergeCell ref="A12:I12"/>
    <mergeCell ref="F2:G3"/>
    <mergeCell ref="F4:G5"/>
    <mergeCell ref="F6:G7"/>
    <mergeCell ref="F8:G9"/>
    <mergeCell ref="F10:G11"/>
    <mergeCell ref="H2:H3"/>
    <mergeCell ref="H4:H5"/>
    <mergeCell ref="H6:H7"/>
    <mergeCell ref="H8:H9"/>
    <mergeCell ref="H10:H11"/>
    <mergeCell ref="E10:E11"/>
    <mergeCell ref="C2:D3"/>
    <mergeCell ref="C4:D5"/>
    <mergeCell ref="C6:D7"/>
    <mergeCell ref="C8:D9"/>
    <mergeCell ref="C10:D11"/>
    <mergeCell ref="A1:I1"/>
    <mergeCell ref="A2:B3"/>
    <mergeCell ref="A4:B5"/>
    <mergeCell ref="A6:B7"/>
    <mergeCell ref="A8:B9"/>
    <mergeCell ref="A10:B11"/>
    <mergeCell ref="E2:E3"/>
    <mergeCell ref="E4:E5"/>
    <mergeCell ref="E6:E7"/>
    <mergeCell ref="E8:E9"/>
  </mergeCells>
  <printOptions/>
  <pageMargins left="0.394" right="0.394" top="0.591" bottom="0.591" header="0" footer="0"/>
  <pageSetup firstPageNumber="0" useFirstPageNumber="1"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Jan Hyliš</cp:lastModifiedBy>
  <dcterms:created xsi:type="dcterms:W3CDTF">2021-06-10T20:06:38Z</dcterms:created>
  <dcterms:modified xsi:type="dcterms:W3CDTF">2023-06-04T07:31:47Z</dcterms:modified>
  <cp:category/>
  <cp:version/>
  <cp:contentType/>
  <cp:contentStatus/>
</cp:coreProperties>
</file>