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0"/>
  </bookViews>
  <sheets>
    <sheet name="Stavební rozpočet" sheetId="1" r:id="rId1"/>
    <sheet name="Krycí list rozpočtu" sheetId="2" r:id="rId2"/>
    <sheet name="Krycí list rozpočtu (SO)" sheetId="3" r:id="rId3"/>
    <sheet name="Krycí list rozpočtu (SO 100)" sheetId="4" r:id="rId4"/>
    <sheet name="Krycí list rozpočtu (SO 100a)" sheetId="5" r:id="rId5"/>
    <sheet name="Krycí list rozpočtu (SO 301)" sheetId="6" r:id="rId6"/>
    <sheet name="Krycí list rozpočtu (SO 302)" sheetId="7" r:id="rId7"/>
    <sheet name="Krycí list rozpočtu (SO 303)" sheetId="8" r:id="rId8"/>
    <sheet name="Krycí list rozpočtu (SO 304)" sheetId="9" r:id="rId9"/>
    <sheet name="Krycí list rozpočtu (SO 305)" sheetId="10" r:id="rId10"/>
    <sheet name="Krycí list rozpočtu (SO 800)" sheetId="11" r:id="rId11"/>
    <sheet name="Krycí list rozpočtu (SO100b)" sheetId="12" r:id="rId12"/>
    <sheet name="Krycí list rozpočtu (SO304.1)" sheetId="13" r:id="rId13"/>
  </sheets>
  <definedNames/>
  <calcPr fullCalcOnLoad="1"/>
</workbook>
</file>

<file path=xl/sharedStrings.xml><?xml version="1.0" encoding="utf-8"?>
<sst xmlns="http://schemas.openxmlformats.org/spreadsheetml/2006/main" count="7547" uniqueCount="1398">
  <si>
    <t>979084319R00</t>
  </si>
  <si>
    <t>597103020RA100</t>
  </si>
  <si>
    <t>877435121R00</t>
  </si>
  <si>
    <t>360</t>
  </si>
  <si>
    <t>92</t>
  </si>
  <si>
    <t>Montáž tvarovek litin. odboč. přír. výkop DN 100</t>
  </si>
  <si>
    <t>899731114R00</t>
  </si>
  <si>
    <t>439</t>
  </si>
  <si>
    <t>877373121R00</t>
  </si>
  <si>
    <t>165</t>
  </si>
  <si>
    <t>Doba výstavby:</t>
  </si>
  <si>
    <t>Hloubené vykopávky</t>
  </si>
  <si>
    <t>198</t>
  </si>
  <si>
    <t>297</t>
  </si>
  <si>
    <t>261</t>
  </si>
  <si>
    <t>412</t>
  </si>
  <si>
    <t>899521411RT1</t>
  </si>
  <si>
    <t>Osazení stojat. obrub. bet.bez opěry,lože z C12/15</t>
  </si>
  <si>
    <t>162701105R00</t>
  </si>
  <si>
    <t>323</t>
  </si>
  <si>
    <t>650106461R00</t>
  </si>
  <si>
    <t>Projektant</t>
  </si>
  <si>
    <t>919735113R00</t>
  </si>
  <si>
    <t>67</t>
  </si>
  <si>
    <t>použít paprskovitou mříž 150cm dle zadání MU- Milevsko.
včetně spodního rámu,spoj.materiálu a povrchové úpravy,</t>
  </si>
  <si>
    <t>209</t>
  </si>
  <si>
    <t>272</t>
  </si>
  <si>
    <t>226</t>
  </si>
  <si>
    <t>283</t>
  </si>
  <si>
    <t>Stožár osvětlovací uliční K 6-133/89/60</t>
  </si>
  <si>
    <t>Základ 15%</t>
  </si>
  <si>
    <t>183</t>
  </si>
  <si>
    <t>TBV-Q 45/24 KN spodní dílec dešťové vpusti DN 450</t>
  </si>
  <si>
    <t>Bourání konstrukcí z dílců prefa. betonových a ŽB</t>
  </si>
  <si>
    <t>379</t>
  </si>
  <si>
    <t>Elektrotvarovka - redukce FRIALEN MR D110/63</t>
  </si>
  <si>
    <t>650106121R00</t>
  </si>
  <si>
    <t>591110011RRA</t>
  </si>
  <si>
    <t>103</t>
  </si>
  <si>
    <t>Obsyp potrubí bez prohození sypaniny</t>
  </si>
  <si>
    <t>460600001RT1</t>
  </si>
  <si>
    <t>424</t>
  </si>
  <si>
    <t>14221300</t>
  </si>
  <si>
    <t>HAWLE šoupátko 2800 DN 5/4" pro dom.příp. - voda</t>
  </si>
  <si>
    <t>1. zálivka po výsadbě</t>
  </si>
  <si>
    <t>59224349</t>
  </si>
  <si>
    <t>892671111R00</t>
  </si>
  <si>
    <t>42200750</t>
  </si>
  <si>
    <t>166</t>
  </si>
  <si>
    <t>286535-R02</t>
  </si>
  <si>
    <t>979951122R00</t>
  </si>
  <si>
    <t>228</t>
  </si>
  <si>
    <t>DIO - 4X etapa.</t>
  </si>
  <si>
    <t>361</t>
  </si>
  <si>
    <t>Poplatek za uložení suti - beton, skupina odpadu 170101</t>
  </si>
  <si>
    <t>91</t>
  </si>
  <si>
    <t>Poklop EURO litinový samonivelační D400 SN600</t>
  </si>
  <si>
    <t>87</t>
  </si>
  <si>
    <t>Základ 21%</t>
  </si>
  <si>
    <t>Výsadba stromu s balem, v rovině, výšky do 200 cm</t>
  </si>
  <si>
    <t>20</t>
  </si>
  <si>
    <t>03VRN</t>
  </si>
  <si>
    <t>237</t>
  </si>
  <si>
    <t>59224364.A</t>
  </si>
  <si>
    <t>564851111RT4</t>
  </si>
  <si>
    <t>Dodávka</t>
  </si>
  <si>
    <t>NUS celkem z obj.</t>
  </si>
  <si>
    <t>336</t>
  </si>
  <si>
    <t>419</t>
  </si>
  <si>
    <t>Přesun hmot pro kabelovody jakéhokoliv rozsahu</t>
  </si>
  <si>
    <t>den</t>
  </si>
  <si>
    <t>2865447050</t>
  </si>
  <si>
    <t>Montáž tvarovek jednoos. plast. gum.kroužek DN 150</t>
  </si>
  <si>
    <t>167</t>
  </si>
  <si>
    <t>Ukotvení dřeviny kůly D do 10 cm, dl. do 2 m</t>
  </si>
  <si>
    <t>Montáž vodovodních šoupátek ve výkopu DN 80</t>
  </si>
  <si>
    <t>BOX - ochrana kořenového systému včetně závlahového systému</t>
  </si>
  <si>
    <t>SO 800_9_</t>
  </si>
  <si>
    <t>448</t>
  </si>
  <si>
    <t>286550923</t>
  </si>
  <si>
    <t>338</t>
  </si>
  <si>
    <t>87_</t>
  </si>
  <si>
    <t>42293139</t>
  </si>
  <si>
    <t>171</t>
  </si>
  <si>
    <t>147</t>
  </si>
  <si>
    <t>Odstranění podkladu nad 50 m2,kam.drcené tl.20 cm</t>
  </si>
  <si>
    <t>Název stavby:</t>
  </si>
  <si>
    <t>SO 303_4_</t>
  </si>
  <si>
    <t>Ostatní materiál</t>
  </si>
  <si>
    <t>2865447070</t>
  </si>
  <si>
    <t>Skruž šachetní TBS-Q.1 100/50/12 PS</t>
  </si>
  <si>
    <t>48</t>
  </si>
  <si>
    <t>29</t>
  </si>
  <si>
    <t>Potrubí z trub plastických, skleněných a čedičových</t>
  </si>
  <si>
    <t>917832111RT5</t>
  </si>
  <si>
    <t>130900030RAD</t>
  </si>
  <si>
    <t>Č</t>
  </si>
  <si>
    <t>10371500</t>
  </si>
  <si>
    <t>89_</t>
  </si>
  <si>
    <t>Dovoz vody pro zálivku rostlin do 6 km</t>
  </si>
  <si>
    <t>Příplatek za dalších 0,30 m výšky spadiště jednod.</t>
  </si>
  <si>
    <t>Poplatek za uložení, zemina a kamení kusovost nad 1600 cm2, (skup.170504)</t>
  </si>
  <si>
    <t>230194007R00</t>
  </si>
  <si>
    <t>SO 301</t>
  </si>
  <si>
    <t>Projektové práce - realizační dokumentace</t>
  </si>
  <si>
    <t>Osazení stojat. obrub.bet. s opěrou,lože z C 12/15</t>
  </si>
  <si>
    <t>Poznámka:</t>
  </si>
  <si>
    <t>894422111RT1</t>
  </si>
  <si>
    <t>722120815R00</t>
  </si>
  <si>
    <t>Lokalita:</t>
  </si>
  <si>
    <t>899203111RT3</t>
  </si>
  <si>
    <t>79</t>
  </si>
  <si>
    <t>71</t>
  </si>
  <si>
    <t>16</t>
  </si>
  <si>
    <t>Zkouška těsnosti kanalizace DN do 800, vodou</t>
  </si>
  <si>
    <t>59224368.A</t>
  </si>
  <si>
    <t>PSV</t>
  </si>
  <si>
    <t>357</t>
  </si>
  <si>
    <t>446</t>
  </si>
  <si>
    <t>189</t>
  </si>
  <si>
    <t>24</t>
  </si>
  <si>
    <t>377</t>
  </si>
  <si>
    <t>Bez pevné podl.</t>
  </si>
  <si>
    <t>327</t>
  </si>
  <si>
    <t>Celkem</t>
  </si>
  <si>
    <t>Hloubení rýh š.do 200 cm hor.3 do 50 m3,STROJNĚ</t>
  </si>
  <si>
    <t>Zařízení staveniště</t>
  </si>
  <si>
    <t>Dno šachetní přímé TBZ-Q.1 120/120 V80</t>
  </si>
  <si>
    <t>437</t>
  </si>
  <si>
    <t>SO 304_</t>
  </si>
  <si>
    <t>Zabezpečení konců kanal. potrubí DN do 300, vodou</t>
  </si>
  <si>
    <t>115001102R00</t>
  </si>
  <si>
    <t>Běžné stavební práce</t>
  </si>
  <si>
    <t>11_</t>
  </si>
  <si>
    <t>592238739</t>
  </si>
  <si>
    <t>Zřízení vpusti uliční z dílců typ UV - 50 normální</t>
  </si>
  <si>
    <t>460030011RT2</t>
  </si>
  <si>
    <t>871313121R00</t>
  </si>
  <si>
    <t>391</t>
  </si>
  <si>
    <t>Deska dlažební řezaná do 0,24 m2 tl. 8 cm žula</t>
  </si>
  <si>
    <t>413</t>
  </si>
  <si>
    <t>SO 304_8_</t>
  </si>
  <si>
    <t>4</t>
  </si>
  <si>
    <t>97</t>
  </si>
  <si>
    <t>121</t>
  </si>
  <si>
    <t>94</t>
  </si>
  <si>
    <t>Sejmutí drnu</t>
  </si>
  <si>
    <t>145</t>
  </si>
  <si>
    <t>použít ochranu kemene - dle zadání MU - Milevsko 3x</t>
  </si>
  <si>
    <t>60</t>
  </si>
  <si>
    <t>151101102R00</t>
  </si>
  <si>
    <t>Nakládání výkopku z hor.1-4 v množství nad 100 m3</t>
  </si>
  <si>
    <t>Základní rozpočtové náklady</t>
  </si>
  <si>
    <t>352</t>
  </si>
  <si>
    <t>235</t>
  </si>
  <si>
    <t>26</t>
  </si>
  <si>
    <t>Osazení poklopů litinových šoupátkových</t>
  </si>
  <si>
    <t>Objímka distanční typ f/g 361-400mm</t>
  </si>
  <si>
    <t>105</t>
  </si>
  <si>
    <t>28653336.A</t>
  </si>
  <si>
    <t>59224369.A</t>
  </si>
  <si>
    <t>Vodorovné přemístění výkopku z hor.1-4 do 2000 m</t>
  </si>
  <si>
    <t>673909992034</t>
  </si>
  <si>
    <t>Trubka tlaková RC1 PE100 32x3,0 mm PN16</t>
  </si>
  <si>
    <t>135</t>
  </si>
  <si>
    <t>332</t>
  </si>
  <si>
    <t>HAWLE šoupátko 4000E2 DN 100 přírubové, voda</t>
  </si>
  <si>
    <t>Konstrukce ze zemin</t>
  </si>
  <si>
    <t>Hloubení rýh š.do 200 cm hor.2 do 10000 m3,STROJNĚ</t>
  </si>
  <si>
    <t>253</t>
  </si>
  <si>
    <t>Pažnice z trub ocelových d 530/8</t>
  </si>
  <si>
    <t>Zkouška hutnící. 3x</t>
  </si>
  <si>
    <t>Celkem bez DPH</t>
  </si>
  <si>
    <t>451</t>
  </si>
  <si>
    <t>122</t>
  </si>
  <si>
    <t>Ventil přímý d 63 x 2" PP či PE, vnější závit 2" + svěrné hrdlo d63</t>
  </si>
  <si>
    <t>184201114RAA</t>
  </si>
  <si>
    <t>Přirážka za 1 spoj elektrotvarovky d 110 mm</t>
  </si>
  <si>
    <t>899711122R00</t>
  </si>
  <si>
    <t>268</t>
  </si>
  <si>
    <t>291</t>
  </si>
  <si>
    <t>SO 303_8_</t>
  </si>
  <si>
    <t>138</t>
  </si>
  <si>
    <t>M21</t>
  </si>
  <si>
    <t>721_</t>
  </si>
  <si>
    <t>172</t>
  </si>
  <si>
    <t>460600001RT3</t>
  </si>
  <si>
    <t>Hmotnost (t)</t>
  </si>
  <si>
    <t>SO_ _</t>
  </si>
  <si>
    <t>02VRN_</t>
  </si>
  <si>
    <t>960111221R00</t>
  </si>
  <si>
    <t>T-kus redukovaný z PE 63/32/63 mm</t>
  </si>
  <si>
    <t>45539103/CZ45539103</t>
  </si>
  <si>
    <t>438</t>
  </si>
  <si>
    <t>242</t>
  </si>
  <si>
    <t>223</t>
  </si>
  <si>
    <t>Osaz. bet. dílců šachet, dna, na kroužek, do 5,0 t</t>
  </si>
  <si>
    <t>15615235</t>
  </si>
  <si>
    <t>28657-001 R</t>
  </si>
  <si>
    <t>6</t>
  </si>
  <si>
    <t>Rozpočtové náklady v Kč</t>
  </si>
  <si>
    <t>68</t>
  </si>
  <si>
    <t>307</t>
  </si>
  <si>
    <t>Odstranění železobet. trub do DN 1200 mm,ve výkopu</t>
  </si>
  <si>
    <t>81</t>
  </si>
  <si>
    <t>426</t>
  </si>
  <si>
    <t>871433121R00</t>
  </si>
  <si>
    <t>216</t>
  </si>
  <si>
    <t>591100020RAB</t>
  </si>
  <si>
    <t>408</t>
  </si>
  <si>
    <t>H00_</t>
  </si>
  <si>
    <t>Výřez a montáž tvarovky z plastu na potrubí DN 400</t>
  </si>
  <si>
    <t>B</t>
  </si>
  <si>
    <t>119</t>
  </si>
  <si>
    <t>160</t>
  </si>
  <si>
    <t>Náklady na umístění stavby (NUS)</t>
  </si>
  <si>
    <t>343</t>
  </si>
  <si>
    <t>42</t>
  </si>
  <si>
    <t>SO 305_1_</t>
  </si>
  <si>
    <t>231</t>
  </si>
  <si>
    <t>Zkoušky</t>
  </si>
  <si>
    <t>034002VRN</t>
  </si>
  <si>
    <t>82</t>
  </si>
  <si>
    <t>Montáž trub z plastických hmot PE, PP, do 63 x 3,8</t>
  </si>
  <si>
    <t>Montáž</t>
  </si>
  <si>
    <t>899721112R00</t>
  </si>
  <si>
    <t>229</t>
  </si>
  <si>
    <t>Datum, razítko a podpis</t>
  </si>
  <si>
    <t>01.08.2023</t>
  </si>
  <si>
    <t>Koš odpadkový nerez SLZN 22 nástěnný 12 l</t>
  </si>
  <si>
    <t>Poplatek za recyklaci, beton silně vyztužený, kusovost do 1600 cm2 (skup.170101)</t>
  </si>
  <si>
    <t>ZRN celkem</t>
  </si>
  <si>
    <t>Zabezpečení staveniště - oplocení</t>
  </si>
  <si>
    <t>2865190009-R</t>
  </si>
  <si>
    <t>Drenážní potrubí DN 150 - včetně lože ze štěrkopísku a obsyp kamenivem 16/32</t>
  </si>
  <si>
    <t>přírodní 100x200x60</t>
  </si>
  <si>
    <t>28653517</t>
  </si>
  <si>
    <t>Tlaková zkouška vodovodního potrubí do DN 80</t>
  </si>
  <si>
    <t>17_</t>
  </si>
  <si>
    <t>Výložník ocelový 1ramenný nad 35 kg</t>
  </si>
  <si>
    <t>Krycí list slepého rozpočtu (SO304.1 - Provizorní vodovod s přípojkami)</t>
  </si>
  <si>
    <t>sada</t>
  </si>
  <si>
    <t>SO 302</t>
  </si>
  <si>
    <t>382</t>
  </si>
  <si>
    <t>979990103R00</t>
  </si>
  <si>
    <t>431</t>
  </si>
  <si>
    <t>Montáž svítidla veřejného osvětlení na výložník</t>
  </si>
  <si>
    <t>69</t>
  </si>
  <si>
    <t>Chodník ze žulových kostek</t>
  </si>
  <si>
    <t>304</t>
  </si>
  <si>
    <t>141</t>
  </si>
  <si>
    <t>Montáž vodovodních šoupátek ve výkopu DN 100</t>
  </si>
  <si>
    <t>Prstenec vyrovnávací šachetní TBW-Q.1 63/10</t>
  </si>
  <si>
    <t>440</t>
  </si>
  <si>
    <t>Odbočka kanal. PP SN8-10 D 315/160 45°</t>
  </si>
  <si>
    <t>Z99999_</t>
  </si>
  <si>
    <t>115001104R00</t>
  </si>
  <si>
    <t>33</t>
  </si>
  <si>
    <t>270</t>
  </si>
  <si>
    <t>258</t>
  </si>
  <si>
    <t>263</t>
  </si>
  <si>
    <t>SO_9_</t>
  </si>
  <si>
    <t>DPH 15%</t>
  </si>
  <si>
    <t>331</t>
  </si>
  <si>
    <t>Vodorovné značení dělicích čar 12 cm střík.barvou</t>
  </si>
  <si>
    <t>349</t>
  </si>
  <si>
    <t>78</t>
  </si>
  <si>
    <t>286550966</t>
  </si>
  <si>
    <t>Pažení a rozepření stěn rýh - příložné - hl.do 2 m</t>
  </si>
  <si>
    <t>162403111R00</t>
  </si>
  <si>
    <t>Krycí list slepého rozpočtu</t>
  </si>
  <si>
    <t>120</t>
  </si>
  <si>
    <t>63</t>
  </si>
  <si>
    <t>891261111R00</t>
  </si>
  <si>
    <t>230</t>
  </si>
  <si>
    <t>žulové kostky 8-10</t>
  </si>
  <si>
    <t>Trubka kanalizační PP SN 10 630x3000mm</t>
  </si>
  <si>
    <t>375</t>
  </si>
  <si>
    <t>03VRN_</t>
  </si>
  <si>
    <t>979084216R00</t>
  </si>
  <si>
    <t>3. zálivka do předání stavby</t>
  </si>
  <si>
    <t>184921093R00</t>
  </si>
  <si>
    <t>322</t>
  </si>
  <si>
    <t>154</t>
  </si>
  <si>
    <t>Koleno kanalizační PP SN 8-10 160/30°</t>
  </si>
  <si>
    <t>192</t>
  </si>
  <si>
    <t>422</t>
  </si>
  <si>
    <t>132201210R00</t>
  </si>
  <si>
    <t>Hloubení jamek 50% výměny půdy do 1 m3, svah 1:2</t>
  </si>
  <si>
    <t>722170804R00</t>
  </si>
  <si>
    <t>137</t>
  </si>
  <si>
    <t>324</t>
  </si>
  <si>
    <t>182301121R00</t>
  </si>
  <si>
    <t>178</t>
  </si>
  <si>
    <t>979990104R00</t>
  </si>
  <si>
    <t>Montáž trub z plastu, gumový kroužek, DN 800</t>
  </si>
  <si>
    <t>25</t>
  </si>
  <si>
    <t>195</t>
  </si>
  <si>
    <t>114211101R00</t>
  </si>
  <si>
    <t>kus</t>
  </si>
  <si>
    <t>Přeložení nebo složení výkopku z hor.1-4</t>
  </si>
  <si>
    <t>Odkopávky a prokopávky</t>
  </si>
  <si>
    <t>Zkouška těsnosti kanalizace DN do 300, vodou</t>
  </si>
  <si>
    <t>Utěsnění chráničky manžetou DN 200</t>
  </si>
  <si>
    <t>Dodávky</t>
  </si>
  <si>
    <t>SO 305_</t>
  </si>
  <si>
    <t>219</t>
  </si>
  <si>
    <t>892581111R00</t>
  </si>
  <si>
    <t>Přípl.k dopravě vybour.trub za dalš.1 km,do DN 800</t>
  </si>
  <si>
    <t>Prstenec vyrovnávací šachetní TBW-Q.1 63/12</t>
  </si>
  <si>
    <t>Kontrola kanalizace TV kamerou do 500 m</t>
  </si>
  <si>
    <t>soustava</t>
  </si>
  <si>
    <t>42228254 - R</t>
  </si>
  <si>
    <t>Manžeta na chráničky EPDM 320 x 410 mm</t>
  </si>
  <si>
    <t>Sejmutí ornice, pl. do 400 m2, přemístění do 50 m</t>
  </si>
  <si>
    <t>Krycí list slepého rozpočtu (SO 100 - komunikace a zpevněné plochy)</t>
  </si>
  <si>
    <t>74910312</t>
  </si>
  <si>
    <t>Ostatní mat.</t>
  </si>
  <si>
    <t>292</t>
  </si>
  <si>
    <t>316735704</t>
  </si>
  <si>
    <t>Spojka rozebíratelná z PE d 32 mm</t>
  </si>
  <si>
    <t>HAWLE pas navrtávací 5250 DN 100 - 5/4" závitový</t>
  </si>
  <si>
    <t>130</t>
  </si>
  <si>
    <t>SO 800_8_</t>
  </si>
  <si>
    <t>Přechod PE - kov vnitřní závit 32 x 5/4"</t>
  </si>
  <si>
    <t>Utěsnění přípojek do DN 200 při zkoušce kanal.</t>
  </si>
  <si>
    <t>Cenová</t>
  </si>
  <si>
    <t>273443888</t>
  </si>
  <si>
    <t>044002VRN</t>
  </si>
  <si>
    <t>42273330 -R</t>
  </si>
  <si>
    <t>Protlak z ocel. trub beraněný, v hor.1-4, D 219 mm</t>
  </si>
  <si>
    <t>HAWLE souprava zemní č. 9601-voda, L=1,0-1,6 m</t>
  </si>
  <si>
    <t>Montáž přesuvek z plastu, gumový kroužek, DN 400</t>
  </si>
  <si>
    <t>281</t>
  </si>
  <si>
    <t>310</t>
  </si>
  <si>
    <t>133</t>
  </si>
  <si>
    <t>SO 305</t>
  </si>
  <si>
    <t>Deska nosná šoupátkového poklopu</t>
  </si>
  <si>
    <t>Stavební úprava ulice včetně inž. sítí</t>
  </si>
  <si>
    <t>877252121R00</t>
  </si>
  <si>
    <t>254</t>
  </si>
  <si>
    <t>422915501</t>
  </si>
  <si>
    <t>175</t>
  </si>
  <si>
    <t>SO 304_4_</t>
  </si>
  <si>
    <t>170</t>
  </si>
  <si>
    <t>HSV prac</t>
  </si>
  <si>
    <t>Osazení betonových dílců šachet do 1,4 t</t>
  </si>
  <si>
    <t>139</t>
  </si>
  <si>
    <t>129</t>
  </si>
  <si>
    <t>115001105R00</t>
  </si>
  <si>
    <t>dlažba parketa - přírodní 100x200x80</t>
  </si>
  <si>
    <t>998225311R00</t>
  </si>
  <si>
    <t>151</t>
  </si>
  <si>
    <t>Elektroinstalace</t>
  </si>
  <si>
    <t>Odstranění  sloupků dopravních značek z Al patek</t>
  </si>
  <si>
    <t>Skruž šachetní TBS-Q.1 100/100/12 PS</t>
  </si>
  <si>
    <t>13</t>
  </si>
  <si>
    <t>181201102R00</t>
  </si>
  <si>
    <t>Lože pod potrubí z kameniva těženého 0 - 4 mm</t>
  </si>
  <si>
    <t>113106034RAB</t>
  </si>
  <si>
    <t>58381325</t>
  </si>
  <si>
    <t>Beton asfalt. ACL 16+ ložný, š. nad 3 m, tl. 7 cm</t>
  </si>
  <si>
    <t>358</t>
  </si>
  <si>
    <t>971026451R00</t>
  </si>
  <si>
    <t>289</t>
  </si>
  <si>
    <t>212810010RAD</t>
  </si>
  <si>
    <t>Výřez a montáž tvarovky z plastu na potrubí DN 800</t>
  </si>
  <si>
    <t>895941111R00</t>
  </si>
  <si>
    <t>392</t>
  </si>
  <si>
    <t>325</t>
  </si>
  <si>
    <t>232</t>
  </si>
  <si>
    <t>"M"</t>
  </si>
  <si>
    <t>Pažení a rozepření stěn rýh - příložné - hl.do 4 m</t>
  </si>
  <si>
    <t>Krycí list slepého rozpočtu (SO 100a - uznatelné náklady)</t>
  </si>
  <si>
    <t>892855115R00</t>
  </si>
  <si>
    <t>230193006R00</t>
  </si>
  <si>
    <t>330</t>
  </si>
  <si>
    <t>140</t>
  </si>
  <si>
    <t>97_</t>
  </si>
  <si>
    <t>2865447057</t>
  </si>
  <si>
    <t>KS</t>
  </si>
  <si>
    <t>Postřik spojovací z KAE, množství zbytkového asfaltu 0,4 kg/m2</t>
  </si>
  <si>
    <t>894423111RT1</t>
  </si>
  <si>
    <t>877425121R00</t>
  </si>
  <si>
    <t>Chem. odplevelení před založ. granulátem, v rovině</t>
  </si>
  <si>
    <t>SO 302_1_</t>
  </si>
  <si>
    <t>2865447056</t>
  </si>
  <si>
    <t>180</t>
  </si>
  <si>
    <t>Cena/MJ</t>
  </si>
  <si>
    <t>Konec výstavby:</t>
  </si>
  <si>
    <t>899202111R00</t>
  </si>
  <si>
    <t>409</t>
  </si>
  <si>
    <t>H22_</t>
  </si>
  <si>
    <t>127</t>
  </si>
  <si>
    <t>577132111R00</t>
  </si>
  <si>
    <t>Kód</t>
  </si>
  <si>
    <t>S</t>
  </si>
  <si>
    <t>04VRN</t>
  </si>
  <si>
    <t>Jednot.</t>
  </si>
  <si>
    <t>43</t>
  </si>
  <si>
    <t>171206111R00</t>
  </si>
  <si>
    <t>200</t>
  </si>
  <si>
    <t>Zřízení kabelového lože v rýze š. do 65 cm z písku</t>
  </si>
  <si>
    <t>450</t>
  </si>
  <si>
    <t>Vodorovná doprava vybour. hmot po suchu do 5 km</t>
  </si>
  <si>
    <t>286134112</t>
  </si>
  <si>
    <t>Dno šachetní přímé TBZ-Q.1 100/100 KOM V60</t>
  </si>
  <si>
    <t>Lože pod potrubí z kameniva těženého 0 - 8 mm</t>
  </si>
  <si>
    <t>Protlak z ocel. trub beraněný, v hor.1-4, D 530 mm</t>
  </si>
  <si>
    <t>02VRN</t>
  </si>
  <si>
    <t>276</t>
  </si>
  <si>
    <t>436</t>
  </si>
  <si>
    <t>389</t>
  </si>
  <si>
    <t>Odstranění betonových trub do DN 150 mm, ve výkopu</t>
  </si>
  <si>
    <t>221</t>
  </si>
  <si>
    <t>435</t>
  </si>
  <si>
    <t>Úprava podloží a základové spáry</t>
  </si>
  <si>
    <t>Bourání konstrukcí z betonu prostého ve výkopu</t>
  </si>
  <si>
    <t>213151121R00</t>
  </si>
  <si>
    <t>Hloubení pro podzemní stěny, ražení a hloubení důlní</t>
  </si>
  <si>
    <t>386</t>
  </si>
  <si>
    <t>MJ</t>
  </si>
  <si>
    <t>SO 301_9_</t>
  </si>
  <si>
    <t>45</t>
  </si>
  <si>
    <t>40</t>
  </si>
  <si>
    <t>4. zálivka</t>
  </si>
  <si>
    <t>Osazení poklopů litinových hydrantových</t>
  </si>
  <si>
    <t>BEST ztracené bednění 20 250/500/200 mm</t>
  </si>
  <si>
    <t>Spojka kanalizační PP SN 8-10 D 400</t>
  </si>
  <si>
    <t>319</t>
  </si>
  <si>
    <t>374</t>
  </si>
  <si>
    <t>Pohotovost čerp.soupravy, výška 10 m, přítok 500 l</t>
  </si>
  <si>
    <t>H22</t>
  </si>
  <si>
    <t>130001101R00</t>
  </si>
  <si>
    <t>Montáž tvarovek odboč. plast. gum. kroužek DN 300</t>
  </si>
  <si>
    <t>Doplňující konstrukce a práce na pozemních komunikacích a zpevněných plochách</t>
  </si>
  <si>
    <t>SO 800_</t>
  </si>
  <si>
    <t>Doplňkové náklady</t>
  </si>
  <si>
    <t>998289093R00</t>
  </si>
  <si>
    <t>224</t>
  </si>
  <si>
    <t>SO 301_8_</t>
  </si>
  <si>
    <t>356</t>
  </si>
  <si>
    <t>Osazení poklopu s rámem do 100 kg</t>
  </si>
  <si>
    <t>132</t>
  </si>
  <si>
    <t>Zabezpečení konců kanal. potrubí DN do 400, vodou</t>
  </si>
  <si>
    <t>220</t>
  </si>
  <si>
    <t>Hloubení nezapaž. jam hor.3 do 1000 m3, STROJNĚ</t>
  </si>
  <si>
    <t>PSV prac</t>
  </si>
  <si>
    <t>HSV</t>
  </si>
  <si>
    <t>966006211R00</t>
  </si>
  <si>
    <t>892591111R00</t>
  </si>
  <si>
    <t>Postřik spojovací z KAE, množství zbytkového asfaltu 0,3 kg/m2</t>
  </si>
  <si>
    <t>180404111R00</t>
  </si>
  <si>
    <t>Fólie výstražná z PVC šedá, šířka 30 cm</t>
  </si>
  <si>
    <t>396</t>
  </si>
  <si>
    <t>Nasunutí potrubní sekce do chráničky DN 400</t>
  </si>
  <si>
    <t>151101112R00</t>
  </si>
  <si>
    <t>9</t>
  </si>
  <si>
    <t>Odstranění pažení stěn rýh - příložné - hl. do 4 m</t>
  </si>
  <si>
    <t>230195041.R</t>
  </si>
  <si>
    <t>328</t>
  </si>
  <si>
    <t>342</t>
  </si>
  <si>
    <t>Jáma stožáru A s patkou EZP, ve svahu, hor.3</t>
  </si>
  <si>
    <t>320</t>
  </si>
  <si>
    <t>SO100b_</t>
  </si>
  <si>
    <t>143</t>
  </si>
  <si>
    <t>104</t>
  </si>
  <si>
    <t>Různé dokončovací konstrukce a práce inženýrských staveb</t>
  </si>
  <si>
    <t>Vpusť k žlabu DN 100 polymerbetonová či betonová D400, litinový rošt</t>
  </si>
  <si>
    <t>Protlak z ocel. trub beraněný, v hor.1-4, D 426 mm</t>
  </si>
  <si>
    <t>Manžeta na chráničky EPDM 400 x 530 mm</t>
  </si>
  <si>
    <t>393</t>
  </si>
  <si>
    <t>Vodovodní přípojky</t>
  </si>
  <si>
    <t>15</t>
  </si>
  <si>
    <t>Montáž přesuvek z plastu, gumový kroužek, DN 600</t>
  </si>
  <si>
    <t>59224373.A</t>
  </si>
  <si>
    <t>Montáž hydrantů podzemních DN 80</t>
  </si>
  <si>
    <t>95</t>
  </si>
  <si>
    <t>378</t>
  </si>
  <si>
    <t>Zabezpečení konců kanal. potrubí DN do 800, vodou</t>
  </si>
  <si>
    <t>ISWORK</t>
  </si>
  <si>
    <t>57_</t>
  </si>
  <si>
    <t>Celkem včetně DPH</t>
  </si>
  <si>
    <t>213151111R00</t>
  </si>
  <si>
    <t>142</t>
  </si>
  <si>
    <t>Podklad z obal kamen.ACP 22+, š.nad 3 m, tl. 9 cm</t>
  </si>
  <si>
    <t>Základ 0%</t>
  </si>
  <si>
    <t>252</t>
  </si>
  <si>
    <t>156</t>
  </si>
  <si>
    <t>286134119</t>
  </si>
  <si>
    <t>418</t>
  </si>
  <si>
    <t>199</t>
  </si>
  <si>
    <t>SO 100a_2_</t>
  </si>
  <si>
    <t>150</t>
  </si>
  <si>
    <t>S_</t>
  </si>
  <si>
    <t>Zásyp jam,rýh a šachet štěrkopískem</t>
  </si>
  <si>
    <t>Hnojivo SLIVAMIX - Tablety</t>
  </si>
  <si>
    <t>260</t>
  </si>
  <si>
    <t>Osazení betonových dílců šachet do 0,5 t</t>
  </si>
  <si>
    <t>121101101R00</t>
  </si>
  <si>
    <t>52</t>
  </si>
  <si>
    <t>118</t>
  </si>
  <si>
    <t>Drát tažený pozinkovaný 11 343  D 10,00 mm</t>
  </si>
  <si>
    <t>273443898</t>
  </si>
  <si>
    <t>113107222RAB</t>
  </si>
  <si>
    <t>271</t>
  </si>
  <si>
    <t>02656031</t>
  </si>
  <si>
    <t>Deska zákrytová nádrže PNO 240/190/25 ZDP-14</t>
  </si>
  <si>
    <t>Poplatek za uložení asfaltové směsi obsahující dehet</t>
  </si>
  <si>
    <t>Rozebrání dlažeb ze zámkové dlažby v kamenivu</t>
  </si>
  <si>
    <t>Trubka tlaková  RC1 PE100 63x3,8 mm PN10</t>
  </si>
  <si>
    <t>51</t>
  </si>
  <si>
    <t>Mříž vtoková KM14P EUROPA D400 rovná 50/50</t>
  </si>
  <si>
    <t>Osaz.svislé dopr.značky a sloupku,Al patka, základ</t>
  </si>
  <si>
    <t>286538080</t>
  </si>
  <si>
    <t>Milevsko</t>
  </si>
  <si>
    <t>227</t>
  </si>
  <si>
    <t>Přesuny sutí</t>
  </si>
  <si>
    <t>269</t>
  </si>
  <si>
    <t>401</t>
  </si>
  <si>
    <t>Mont prac</t>
  </si>
  <si>
    <t>Výřez a montáž tvarovky zplastu na potrubí DN 600</t>
  </si>
  <si>
    <t>Objímka distanční PEHD 100-111 mm</t>
  </si>
  <si>
    <t>44</t>
  </si>
  <si>
    <t>Beton C 16/20 - X0 - Dmax 22 mm - S2 - struskoportlandský CEM II</t>
  </si>
  <si>
    <t>Koleno 15° d110 SDR11 PE100RC PN16</t>
  </si>
  <si>
    <t>Krycí list slepého rozpočtu (SO 800 - sadové úpravy)</t>
  </si>
  <si>
    <t>Příplatek k odvozu za každý další 1 km</t>
  </si>
  <si>
    <t>877162121R00</t>
  </si>
  <si>
    <t>Přípojky jednotné kanalizace</t>
  </si>
  <si>
    <t>h</t>
  </si>
  <si>
    <t>SO_Z_</t>
  </si>
  <si>
    <t>Zkoušky - 8x kontrolní zkouška zať deskou</t>
  </si>
  <si>
    <t>Štěrkodrtě frakce 0-32 A</t>
  </si>
  <si>
    <t>359</t>
  </si>
  <si>
    <t>Elektrotvarovka - spojka d32</t>
  </si>
  <si>
    <t>23</t>
  </si>
  <si>
    <t>Trubka kanalizační PP SN 10 630x6000mm</t>
  </si>
  <si>
    <t>SO 301_1_</t>
  </si>
  <si>
    <t>896211211R00</t>
  </si>
  <si>
    <t>917862111RV3</t>
  </si>
  <si>
    <t>262</t>
  </si>
  <si>
    <t>58380129</t>
  </si>
  <si>
    <t>128</t>
  </si>
  <si>
    <t>SO 100a_9_</t>
  </si>
  <si>
    <t>Potrubí z trub litinových</t>
  </si>
  <si>
    <t>59</t>
  </si>
  <si>
    <t>250</t>
  </si>
  <si>
    <t>28_</t>
  </si>
  <si>
    <t>Krycí list slepého rozpočtu (SO 301 - Dešťová kanalizace)</t>
  </si>
  <si>
    <t>282</t>
  </si>
  <si>
    <t>Utěsnění chráničky manžetou DN 400/300</t>
  </si>
  <si>
    <t>109</t>
  </si>
  <si>
    <t>t</t>
  </si>
  <si>
    <t>429</t>
  </si>
  <si>
    <t>355</t>
  </si>
  <si>
    <t>894423114R00</t>
  </si>
  <si>
    <t>117</t>
  </si>
  <si>
    <t>877393122R00</t>
  </si>
  <si>
    <t> </t>
  </si>
  <si>
    <t>162701109R00</t>
  </si>
  <si>
    <t>53</t>
  </si>
  <si>
    <t>246</t>
  </si>
  <si>
    <t>Žlab odvodňovací polymerbeton či beton, zatížení D400 kN</t>
  </si>
  <si>
    <t>295</t>
  </si>
  <si>
    <t>857242121R00</t>
  </si>
  <si>
    <t>99</t>
  </si>
  <si>
    <t>273443897</t>
  </si>
  <si>
    <t>161</t>
  </si>
  <si>
    <t>Průzkumy, geodetické a projektové práce</t>
  </si>
  <si>
    <t>892673111R00</t>
  </si>
  <si>
    <t>979999976R00</t>
  </si>
  <si>
    <t>107</t>
  </si>
  <si>
    <t>012002VRN</t>
  </si>
  <si>
    <t>243</t>
  </si>
  <si>
    <t>Výkup kovů - litina, velikost nad 40 x 40 cm</t>
  </si>
  <si>
    <t>405</t>
  </si>
  <si>
    <t>915701111R00</t>
  </si>
  <si>
    <t>ocelový chránič kmene</t>
  </si>
  <si>
    <t>Lavička MONA s opěradlem 1700x650x690 mm akát/kov</t>
  </si>
  <si>
    <t>59224353.A</t>
  </si>
  <si>
    <t>115101201R00</t>
  </si>
  <si>
    <t>01VRN_</t>
  </si>
  <si>
    <t>125</t>
  </si>
  <si>
    <t>Koleno 45° elektrosvařovací ELGEF Plus d 110 mm</t>
  </si>
  <si>
    <t>SO 303_1_</t>
  </si>
  <si>
    <t>577131111R00</t>
  </si>
  <si>
    <t>Tvar. hrdl.s přír.odb. MMA DN100/ 80 PN 16, jištěná hrdla</t>
  </si>
  <si>
    <t>42293250</t>
  </si>
  <si>
    <t>Desinfekce vodovodního potrubí do DN 70</t>
  </si>
  <si>
    <t>230180021R00</t>
  </si>
  <si>
    <t>Výplň dutin cementopopílkovou suspenzí</t>
  </si>
  <si>
    <t>JKSO:</t>
  </si>
  <si>
    <t>399</t>
  </si>
  <si>
    <t>45_</t>
  </si>
  <si>
    <t>Přesun hmot, oprava komunikací, kryt živič. a bet.</t>
  </si>
  <si>
    <t>85</t>
  </si>
  <si>
    <t>286144827</t>
  </si>
  <si>
    <t>564851111RT2</t>
  </si>
  <si>
    <t>64</t>
  </si>
  <si>
    <t>Vybourání otv. zeď kam. pl. 0,25 m2, tl. 45 cm, MC</t>
  </si>
  <si>
    <t>894421112R00</t>
  </si>
  <si>
    <t>422935304</t>
  </si>
  <si>
    <t>18_</t>
  </si>
  <si>
    <t>SO 304_1_</t>
  </si>
  <si>
    <t>896290111R00</t>
  </si>
  <si>
    <t>255</t>
  </si>
  <si>
    <t>28655303</t>
  </si>
  <si>
    <t>60517100</t>
  </si>
  <si>
    <t>197</t>
  </si>
  <si>
    <t>Geotextilie FILTEK 300 g/m2 ze 100% PP</t>
  </si>
  <si>
    <t>329</t>
  </si>
  <si>
    <t>SO 800_2_</t>
  </si>
  <si>
    <t>Geotextilie tkaná Geolon PET 100, role 5 x 300 m</t>
  </si>
  <si>
    <t>Odstranění asfaltové vrstvy pl.nad 50 m2, tl.10 cm</t>
  </si>
  <si>
    <t>Montáž výložníku pro svítidlo 1 ramenný nad 35 kg</t>
  </si>
  <si>
    <t>12_</t>
  </si>
  <si>
    <t>Montáž přesuvek z plastu, gumový kroužek, DN 300</t>
  </si>
  <si>
    <t>77</t>
  </si>
  <si>
    <t>210204104RS2</t>
  </si>
  <si>
    <t>Tlaková zkouška vodovodního potrubí do DN 125</t>
  </si>
  <si>
    <t>Ochranný nátěr kmene před teplotními vlivy (ARBO-FLEX) včetně  dodávky nátěru</t>
  </si>
  <si>
    <t>233</t>
  </si>
  <si>
    <t>721242116R00</t>
  </si>
  <si>
    <t>Prstenec vyrovnávací šachetní TBW-Q.1 63/8</t>
  </si>
  <si>
    <t>TBV-Q 45/65 SZ 15 PVC skruž vpusti DN 450</t>
  </si>
  <si>
    <t>DN celkem</t>
  </si>
  <si>
    <t>Vodorovné značení proužků š.25 cm střík.barvou</t>
  </si>
  <si>
    <t>162401102R00</t>
  </si>
  <si>
    <t>SO 800</t>
  </si>
  <si>
    <t>444</t>
  </si>
  <si>
    <t>421</t>
  </si>
  <si>
    <t>Komunikace pozemní a letiště</t>
  </si>
  <si>
    <t>Založení hřišťového trávníku výsevem na ornici</t>
  </si>
  <si>
    <t>592238712</t>
  </si>
  <si>
    <t>286</t>
  </si>
  <si>
    <t>892583111R00</t>
  </si>
  <si>
    <t>286144835</t>
  </si>
  <si>
    <t>Zásyp jam, rýh, šachet se zhutněním</t>
  </si>
  <si>
    <t>116</t>
  </si>
  <si>
    <t>GROUPCODE</t>
  </si>
  <si>
    <t>odstranění 20cm</t>
  </si>
  <si>
    <t>230180069R00</t>
  </si>
  <si>
    <t>146</t>
  </si>
  <si>
    <t>Vodorovná doprava vybour.trub do 1 km, do DN 800</t>
  </si>
  <si>
    <t>0</t>
  </si>
  <si>
    <t>SO304.1_1_</t>
  </si>
  <si>
    <t>182</t>
  </si>
  <si>
    <t>894423111R00</t>
  </si>
  <si>
    <t>597101113RT1</t>
  </si>
  <si>
    <t>Odbočka sedlová na hladké potrubí DN 400 až 800, odbočka DN 160</t>
  </si>
  <si>
    <t>Provozní vlivy</t>
  </si>
  <si>
    <t>181300012RAA</t>
  </si>
  <si>
    <t>979999979R00</t>
  </si>
  <si>
    <t>5</t>
  </si>
  <si>
    <t>Kladení dlažby velké kostky, lože z MC tl. 5 cm</t>
  </si>
  <si>
    <t>892916111R00</t>
  </si>
  <si>
    <t>Trubka kabelová chránička KOPODUR KD 09125</t>
  </si>
  <si>
    <t>nátěřy</t>
  </si>
  <si>
    <t>59224358.A</t>
  </si>
  <si>
    <t>871373121R00</t>
  </si>
  <si>
    <t>203</t>
  </si>
  <si>
    <t>394</t>
  </si>
  <si>
    <t>Příplatek k vod. přemístění hor.1-4 za další 1 km</t>
  </si>
  <si>
    <t>565151111R00</t>
  </si>
  <si>
    <t>248</t>
  </si>
  <si>
    <t>591141111R00</t>
  </si>
  <si>
    <t>59224346</t>
  </si>
  <si>
    <t>183102221R00</t>
  </si>
  <si>
    <t>SO304.1</t>
  </si>
  <si>
    <t>573231123R00</t>
  </si>
  <si>
    <t>144</t>
  </si>
  <si>
    <t>416</t>
  </si>
  <si>
    <t>264</t>
  </si>
  <si>
    <t>Druh stavby:</t>
  </si>
  <si>
    <t>Přípravné a přidružené práce</t>
  </si>
  <si>
    <t>892593111R00</t>
  </si>
  <si>
    <t>Zabezpečovací práce - archeologický dohled</t>
  </si>
  <si>
    <t>TBV-10/a prstenec</t>
  </si>
  <si>
    <t>SO 305_8_</t>
  </si>
  <si>
    <t>Zpevňování hornin a konstrukcí</t>
  </si>
  <si>
    <t>162</t>
  </si>
  <si>
    <t>Elektrotvarovka - koleno 30°  FRIALEN W30 d110</t>
  </si>
  <si>
    <t>SO_</t>
  </si>
  <si>
    <t>891269111R00</t>
  </si>
  <si>
    <t>Kabel CYKY-m 750 V 5 žil,4 až 25 mm2,volně uložený</t>
  </si>
  <si>
    <t>238</t>
  </si>
  <si>
    <t>96</t>
  </si>
  <si>
    <t>316</t>
  </si>
  <si>
    <t>231SADVD</t>
  </si>
  <si>
    <t>333</t>
  </si>
  <si>
    <t>Zpracováno dne:</t>
  </si>
  <si>
    <t>919726212R00</t>
  </si>
  <si>
    <t>003VD</t>
  </si>
  <si>
    <t>55244411</t>
  </si>
  <si>
    <t>552700804</t>
  </si>
  <si>
    <t>302</t>
  </si>
  <si>
    <t>230195007R00</t>
  </si>
  <si>
    <t>299</t>
  </si>
  <si>
    <t>Montáž tvarovek litin. jednoos.přír. výkop DN 80</t>
  </si>
  <si>
    <t>202</t>
  </si>
  <si>
    <t>231_</t>
  </si>
  <si>
    <t>230193010R00</t>
  </si>
  <si>
    <t>420</t>
  </si>
  <si>
    <t>58922151</t>
  </si>
  <si>
    <t>Trubka kanalizační PP SN 10 400x3000mm</t>
  </si>
  <si>
    <t>194</t>
  </si>
  <si>
    <t>353</t>
  </si>
  <si>
    <t>Odstranění podkladu nad 50 m2,kam.drcené tl.30 cm</t>
  </si>
  <si>
    <t>Trubka OC s podél. svarem   426x8 mm</t>
  </si>
  <si>
    <t>Silniční provoz - DIO, DIR a dopravní značení</t>
  </si>
  <si>
    <t>215901101R00</t>
  </si>
  <si>
    <t>Ražení a hloubení tunelářské</t>
  </si>
  <si>
    <t>14362522</t>
  </si>
  <si>
    <t>31.10.2024</t>
  </si>
  <si>
    <t>10</t>
  </si>
  <si>
    <t>212</t>
  </si>
  <si>
    <t>286134111</t>
  </si>
  <si>
    <t>183403153R00</t>
  </si>
  <si>
    <t>149</t>
  </si>
  <si>
    <t>183400022RAA</t>
  </si>
  <si>
    <t>58</t>
  </si>
  <si>
    <t>915711111RT2</t>
  </si>
  <si>
    <t>Krycí list slepého rozpočtu (SO 302 - Přeložka jednotné kanalizace)</t>
  </si>
  <si>
    <t>284</t>
  </si>
  <si>
    <t>36</t>
  </si>
  <si>
    <t>M46</t>
  </si>
  <si>
    <t>Zhutnění podloží z hornin nesoudržných do 92% PS</t>
  </si>
  <si>
    <t>113108410R00</t>
  </si>
  <si>
    <t>427</t>
  </si>
  <si>
    <t>Krycí list slepého rozpočtu (SO - Veřejné osvětlení - úprava)</t>
  </si>
  <si>
    <t>693650460</t>
  </si>
  <si>
    <t>892571111R00</t>
  </si>
  <si>
    <t>14</t>
  </si>
  <si>
    <t>VORN - Vedlejší a ostatní rozpočtové náklady</t>
  </si>
  <si>
    <t>31</t>
  </si>
  <si>
    <t>423</t>
  </si>
  <si>
    <t>84</t>
  </si>
  <si>
    <t>SO100b_9_</t>
  </si>
  <si>
    <t>305</t>
  </si>
  <si>
    <t>60850025</t>
  </si>
  <si>
    <t>001</t>
  </si>
  <si>
    <t>SO 100a_5_</t>
  </si>
  <si>
    <t>Zřízení vodorovného značení z nátěr.hmot tl.do 3mm</t>
  </si>
  <si>
    <t>Množství</t>
  </si>
  <si>
    <t>442</t>
  </si>
  <si>
    <t>38</t>
  </si>
  <si>
    <t>430</t>
  </si>
  <si>
    <t>Neuznatelné náklady</t>
  </si>
  <si>
    <t>2865447053</t>
  </si>
  <si>
    <t>Osaz. bet. dílců šachet, prefbrikátů, do 5,0 t</t>
  </si>
  <si>
    <t>369</t>
  </si>
  <si>
    <t>Demontáž rozvodů vody z plastů do D 63</t>
  </si>
  <si>
    <t>286144833</t>
  </si>
  <si>
    <t>Čerpání vody na výšku do 10 m, přítok do 500 l/min</t>
  </si>
  <si>
    <t>Řezání stávajícího živičného krytu tl. 5 - 10 cm</t>
  </si>
  <si>
    <t>174</t>
  </si>
  <si>
    <t>Montáž elektrovýzbroje stožáru pro 1 okruh</t>
  </si>
  <si>
    <t>286144832</t>
  </si>
  <si>
    <t>184202111R00</t>
  </si>
  <si>
    <t>286553441</t>
  </si>
  <si>
    <t>Úprava pláně v zářezech v hor. 1-4, se zhutněním</t>
  </si>
  <si>
    <t>21_</t>
  </si>
  <si>
    <t>Vnitřní vodovod</t>
  </si>
  <si>
    <t>Typ skupiny</t>
  </si>
  <si>
    <t>73</t>
  </si>
  <si>
    <t>Poklop KA 01 BEGU D 605 mm "A1" PARK A15</t>
  </si>
  <si>
    <t>Stupadla šacht. vidlicová oceloplast, vysek. beton</t>
  </si>
  <si>
    <t>Přesun hmot pro sadovnické a krajin. úpravy do 5km</t>
  </si>
  <si>
    <t>410</t>
  </si>
  <si>
    <t>Spojka kanalizační PP SN 8-10 D 630</t>
  </si>
  <si>
    <t>256</t>
  </si>
  <si>
    <t>Zemní práce při montážích</t>
  </si>
  <si>
    <t>Zabezpečení konců kanal. potrubí DN do 600, vodou</t>
  </si>
  <si>
    <t>SO 800_ _</t>
  </si>
  <si>
    <t>Spojka hrdlo, redukovaná  č. 7974, DN 100/80, PN 16</t>
  </si>
  <si>
    <t>363</t>
  </si>
  <si>
    <t>577162124R00</t>
  </si>
  <si>
    <t>Dočasné zajištění kabelů - do počtu 3 kabelů</t>
  </si>
  <si>
    <t>Revize VO</t>
  </si>
  <si>
    <t>HAWLE poklop k podz. hydrantu 1950 - voda</t>
  </si>
  <si>
    <t>188</t>
  </si>
  <si>
    <t>Lapač střešních splavenin litinový DN 125</t>
  </si>
  <si>
    <t>56</t>
  </si>
  <si>
    <t>Montáž trubek polyetylenových ve výkopu d 110 mm</t>
  </si>
  <si>
    <t>2865447054</t>
  </si>
  <si>
    <t>722_</t>
  </si>
  <si>
    <t>040001VRN</t>
  </si>
  <si>
    <t>892271111R00</t>
  </si>
  <si>
    <t>19</t>
  </si>
  <si>
    <t>Zalití rostlin vodou plochy nad 20 m2</t>
  </si>
  <si>
    <t>C</t>
  </si>
  <si>
    <t>286538121</t>
  </si>
  <si>
    <t>SO 302_9_</t>
  </si>
  <si>
    <t>Náklady (Kč)</t>
  </si>
  <si>
    <t>936451111R00</t>
  </si>
  <si>
    <t>721</t>
  </si>
  <si>
    <t>110</t>
  </si>
  <si>
    <t>Krycí list slepého rozpočtu (SO 304 - Přeložka vodovodního řadu)</t>
  </si>
  <si>
    <t>892663111R00</t>
  </si>
  <si>
    <t>Spojka kanalizační PP SN 8-10 D 315</t>
  </si>
  <si>
    <t>39</t>
  </si>
  <si>
    <t>30</t>
  </si>
  <si>
    <t>Skruž šachetní TBS-Q.1 100/25/12 PS</t>
  </si>
  <si>
    <t>241</t>
  </si>
  <si>
    <t>Ostatní konstrukce a práce na trubním vedení</t>
  </si>
  <si>
    <t>IČO/DIČ:</t>
  </si>
  <si>
    <t>596040011RA0</t>
  </si>
  <si>
    <t>Ostatní</t>
  </si>
  <si>
    <t>364</t>
  </si>
  <si>
    <t>433</t>
  </si>
  <si>
    <t>Odstranění asfaltobetonové vozovky pl. nad 50 m2</t>
  </si>
  <si>
    <t>86</t>
  </si>
  <si>
    <t>289971211R00</t>
  </si>
  <si>
    <t>278</t>
  </si>
  <si>
    <t>222</t>
  </si>
  <si>
    <t>141741119R00</t>
  </si>
  <si>
    <t>979081121R00</t>
  </si>
  <si>
    <t>877395121R00</t>
  </si>
  <si>
    <t>55</t>
  </si>
  <si>
    <t>402</t>
  </si>
  <si>
    <t>210201533R00</t>
  </si>
  <si>
    <t>370</t>
  </si>
  <si>
    <t>030001VRN</t>
  </si>
  <si>
    <t>871251121R00</t>
  </si>
  <si>
    <t>Montáž trub kanaliz. z plastu, hrdlových, DN 400</t>
  </si>
  <si>
    <t>Zpracoval:</t>
  </si>
  <si>
    <t>372</t>
  </si>
  <si>
    <t>69366198</t>
  </si>
  <si>
    <t>Kryty štěrkových a živičných pozemních komunikací a zpevněných ploch</t>
  </si>
  <si>
    <t>76</t>
  </si>
  <si>
    <t>Montáž trub kanaliz. z plastu, hrdlových, DN 300</t>
  </si>
  <si>
    <t>290</t>
  </si>
  <si>
    <t>453</t>
  </si>
  <si>
    <t>346</t>
  </si>
  <si>
    <t>Soubor</t>
  </si>
  <si>
    <t>Odstranění asfaltové vrstvy pl.nad 50 m2, tl.11 cm</t>
  </si>
  <si>
    <t>315</t>
  </si>
  <si>
    <t>597103112RT1</t>
  </si>
  <si>
    <t>Projektové práce - skutečné provedení</t>
  </si>
  <si>
    <t>043002VRN</t>
  </si>
  <si>
    <t>914001121RT6</t>
  </si>
  <si>
    <t>kompletní dodávka včetně závlahového systému</t>
  </si>
  <si>
    <t>151101111R00</t>
  </si>
  <si>
    <t>207</t>
  </si>
  <si>
    <t>Přesun hmot, trubní vedení plastová, otevř. výkop</t>
  </si>
  <si>
    <t>Zhotovitel</t>
  </si>
  <si>
    <t>380</t>
  </si>
  <si>
    <t>Provizorní vodovod s přípojkami</t>
  </si>
  <si>
    <t>199000002R00</t>
  </si>
  <si>
    <t>Kůl vyvazovací 250 x 8 cm</t>
  </si>
  <si>
    <t>RTS I / 2023</t>
  </si>
  <si>
    <t>210810017RT3</t>
  </si>
  <si>
    <t>190</t>
  </si>
  <si>
    <t>SO 301_</t>
  </si>
  <si>
    <t>979990261R00</t>
  </si>
  <si>
    <t>Montáž distanční objímky segmentových d 301-320 mm</t>
  </si>
  <si>
    <t>2</t>
  </si>
  <si>
    <t>Projektant:</t>
  </si>
  <si>
    <t>ORN celkem</t>
  </si>
  <si>
    <t>966631111R00</t>
  </si>
  <si>
    <t>286144826</t>
  </si>
  <si>
    <t/>
  </si>
  <si>
    <t>2. zálivka - do předání st.</t>
  </si>
  <si>
    <t>Osazení mříží litinových s rámem do 100kg</t>
  </si>
  <si>
    <t>SO 302_8_</t>
  </si>
  <si>
    <t>309</t>
  </si>
  <si>
    <t>152</t>
  </si>
  <si>
    <t>17</t>
  </si>
  <si>
    <t>013002VRN</t>
  </si>
  <si>
    <t>Odstranění zám.dlažby 6 cm vč.podkladu, přes 50 m2</t>
  </si>
  <si>
    <t>Montáž trubních dílů PE, PP, D 63</t>
  </si>
  <si>
    <t>406</t>
  </si>
  <si>
    <t>966006215R00</t>
  </si>
  <si>
    <t>98</t>
  </si>
  <si>
    <t>112</t>
  </si>
  <si>
    <t>15_</t>
  </si>
  <si>
    <t>Demontáž potrubí litinového hrdlového DN 100</t>
  </si>
  <si>
    <t>021002VRN</t>
  </si>
  <si>
    <t>21</t>
  </si>
  <si>
    <t>451572111R00</t>
  </si>
  <si>
    <t>Obdělání půdy hrabáním, v rovině</t>
  </si>
  <si>
    <t>59224366.A</t>
  </si>
  <si>
    <t>113107620R00</t>
  </si>
  <si>
    <t>445</t>
  </si>
  <si>
    <t>891241111R00</t>
  </si>
  <si>
    <t>Měření intenzity osvětlení</t>
  </si>
  <si>
    <t>892233111R00</t>
  </si>
  <si>
    <t>351</t>
  </si>
  <si>
    <t>362</t>
  </si>
  <si>
    <t>113202111R00</t>
  </si>
  <si>
    <t>55243342.A</t>
  </si>
  <si>
    <t>Koleno přírubové Duktus FFK DN 100-30° EWS</t>
  </si>
  <si>
    <t>286144829</t>
  </si>
  <si>
    <t>Práce přesčas</t>
  </si>
  <si>
    <t>565161212R00</t>
  </si>
  <si>
    <t>Malta cementová zdicí a správková pro kanalizace ERGELIT-SBM</t>
  </si>
  <si>
    <t>Montáž trubek polyetylenových ve výkopu d 32 mm</t>
  </si>
  <si>
    <t>899401113R00</t>
  </si>
  <si>
    <t>210201528R00</t>
  </si>
  <si>
    <t>Těsnění spár krytu vozovky zálivkou za studena</t>
  </si>
  <si>
    <t>61</t>
  </si>
  <si>
    <t>SO 302_</t>
  </si>
  <si>
    <t>345</t>
  </si>
  <si>
    <t>313</t>
  </si>
  <si>
    <t>59224347.A</t>
  </si>
  <si>
    <t>HAWLE souprava zemní 9500E2 DN50 -100, 1,3-1,8m</t>
  </si>
  <si>
    <t>119001421R00</t>
  </si>
  <si>
    <t>368</t>
  </si>
  <si>
    <t>126</t>
  </si>
  <si>
    <t>124</t>
  </si>
  <si>
    <t>174101101R00</t>
  </si>
  <si>
    <t>H00</t>
  </si>
  <si>
    <t>Montáže potrubí</t>
  </si>
  <si>
    <t>07VRN</t>
  </si>
  <si>
    <t>158</t>
  </si>
  <si>
    <t>12</t>
  </si>
  <si>
    <t>650106221R00</t>
  </si>
  <si>
    <t>01VRN</t>
  </si>
  <si>
    <t>Chodník dlážděný D2-D-1-CH-PII a PIII</t>
  </si>
  <si>
    <t>Odstranění dlažby z kostek vč.podkladu, nad 50 m2</t>
  </si>
  <si>
    <t>234</t>
  </si>
  <si>
    <t>185851111R00</t>
  </si>
  <si>
    <t>Kulturní památka</t>
  </si>
  <si>
    <t>Objekt</t>
  </si>
  <si>
    <t>28655334</t>
  </si>
  <si>
    <t>168</t>
  </si>
  <si>
    <t>Bourání konstrukcí</t>
  </si>
  <si>
    <t>306</t>
  </si>
  <si>
    <t>Koš kalový vysoký UA4V</t>
  </si>
  <si>
    <t>DPH 21%</t>
  </si>
  <si>
    <t>573231124R00</t>
  </si>
  <si>
    <t>298</t>
  </si>
  <si>
    <t>Chodník z dlažby zámkové, podklad štěrkodrť</t>
  </si>
  <si>
    <t>184</t>
  </si>
  <si>
    <t>249</t>
  </si>
  <si>
    <t>181101102R00</t>
  </si>
  <si>
    <t>134</t>
  </si>
  <si>
    <t>460420022RT2</t>
  </si>
  <si>
    <t>Odbočka přírub. T  DN 100x100 PN 10-40</t>
  </si>
  <si>
    <t>211</t>
  </si>
  <si>
    <t>Osazení lež.obrub.kamen. bez opěr, lože z C 12/15</t>
  </si>
  <si>
    <t>917131111RT2</t>
  </si>
  <si>
    <t>196</t>
  </si>
  <si>
    <t>SO 304_9_</t>
  </si>
  <si>
    <t>592238711</t>
  </si>
  <si>
    <t>Trubka kanalizační PP SN 10 400x6000mm</t>
  </si>
  <si>
    <t>318</t>
  </si>
  <si>
    <t>SO 301_72_</t>
  </si>
  <si>
    <t>Přesun hmot, kabelovody, příplatek do 2 km</t>
  </si>
  <si>
    <t>Elektromontáže</t>
  </si>
  <si>
    <t>Převedení vody potrubím o průměru do DN 150 mm</t>
  </si>
  <si>
    <t>Geodetické práce</t>
  </si>
  <si>
    <t>979084313R00</t>
  </si>
  <si>
    <t>Odstranění betonových trub do DN 500 mm, ve výkopu</t>
  </si>
  <si>
    <t>Vrtání jádrové do ŽB do D 300 mm</t>
  </si>
  <si>
    <t>919735112R00</t>
  </si>
  <si>
    <t>131201112R00</t>
  </si>
  <si>
    <t>371</t>
  </si>
  <si>
    <t>Deska přechodová zákrytová TZK-Q.1 120-100/25</t>
  </si>
  <si>
    <t>367</t>
  </si>
  <si>
    <t>187</t>
  </si>
  <si>
    <t>ORN celkem z obj.</t>
  </si>
  <si>
    <t>Poplatek za skládku suti - beton nad 30x30 cm</t>
  </si>
  <si>
    <t>317</t>
  </si>
  <si>
    <t>Osazení betonových dílců šachet</t>
  </si>
  <si>
    <t>Dešťová kanalizace</t>
  </si>
  <si>
    <t>191</t>
  </si>
  <si>
    <t>Podkladní a vedlejší konstrukce (kromě vozovek a železničního svršku)</t>
  </si>
  <si>
    <t>404</t>
  </si>
  <si>
    <t>TBV-Q 45/57 SH skruž dešťové vpusti DN 450</t>
  </si>
  <si>
    <t>49</t>
  </si>
  <si>
    <t>72</t>
  </si>
  <si>
    <t>899102111R00</t>
  </si>
  <si>
    <t>899401112R00</t>
  </si>
  <si>
    <t>275</t>
  </si>
  <si>
    <t>19_</t>
  </si>
  <si>
    <t>Lať surová SM jakost I-II tl. 30 - 40 mm, š. 50 - 60 mm, 0,50 - 0,75 m</t>
  </si>
  <si>
    <t>Přesuny</t>
  </si>
  <si>
    <t>MAT</t>
  </si>
  <si>
    <t>SO 303_</t>
  </si>
  <si>
    <t>42200760</t>
  </si>
  <si>
    <t>58344169</t>
  </si>
  <si>
    <t>267</t>
  </si>
  <si>
    <t>70</t>
  </si>
  <si>
    <t>277</t>
  </si>
  <si>
    <t>8</t>
  </si>
  <si>
    <t>Celkem:</t>
  </si>
  <si>
    <t>hmatová dlažba  - zámková dlažba parketa 100x200x60 - barva červená</t>
  </si>
  <si>
    <t>Mimostav. doprava</t>
  </si>
  <si>
    <t>Rozprostření ornice v rovině tloušťka 20 cm</t>
  </si>
  <si>
    <t>266</t>
  </si>
  <si>
    <t>Těsnění elastom pro šach díly EMT - DN 1000</t>
  </si>
  <si>
    <t>18</t>
  </si>
  <si>
    <t>DN celkem z obj.</t>
  </si>
  <si>
    <t>452311131R00</t>
  </si>
  <si>
    <t>46</t>
  </si>
  <si>
    <t>892661111R00</t>
  </si>
  <si>
    <t>181</t>
  </si>
  <si>
    <t>434</t>
  </si>
  <si>
    <t>TBV-Q 45/30 SS skruž dešťové vpusti DN 450</t>
  </si>
  <si>
    <t>214</t>
  </si>
  <si>
    <t>Směs travní hřištní I. - střední zátěž PROFI</t>
  </si>
  <si>
    <t>SO 302_5_</t>
  </si>
  <si>
    <t>TerraCottem fyzikální půdní kondicionér po 20 kg</t>
  </si>
  <si>
    <t>385</t>
  </si>
  <si>
    <t>857264121R00</t>
  </si>
  <si>
    <t>176</t>
  </si>
  <si>
    <t>100</t>
  </si>
  <si>
    <t>108</t>
  </si>
  <si>
    <t>50</t>
  </si>
  <si>
    <t>Odstranění trubkového nástavce včetně značky</t>
  </si>
  <si>
    <t>397</t>
  </si>
  <si>
    <t>340</t>
  </si>
  <si>
    <t>167101103R00</t>
  </si>
  <si>
    <t>Svítidlo LED světlomet venkovní</t>
  </si>
  <si>
    <t>Utěsnění chráničky manžetou DN 400/500</t>
  </si>
  <si>
    <t>314</t>
  </si>
  <si>
    <t>m</t>
  </si>
  <si>
    <t>373</t>
  </si>
  <si>
    <t>998289011R00</t>
  </si>
  <si>
    <t>Inženýrské činnosti</t>
  </si>
  <si>
    <t>592243501</t>
  </si>
  <si>
    <t>217</t>
  </si>
  <si>
    <t>Montáž tvarovek litin. jednoos. přír. výkop DN 100</t>
  </si>
  <si>
    <t>SO100b_5_</t>
  </si>
  <si>
    <t>225</t>
  </si>
  <si>
    <t>04VRN_</t>
  </si>
  <si>
    <t>Přemístění výkopku</t>
  </si>
  <si>
    <t>573111115R00</t>
  </si>
  <si>
    <t>591040111RA0</t>
  </si>
  <si>
    <t>11</t>
  </si>
  <si>
    <t>398</t>
  </si>
  <si>
    <t>42291515</t>
  </si>
  <si>
    <t>Veřejné osvětlení - úprava</t>
  </si>
  <si>
    <t>Vodorovné přemístění výkopku z hor.1-4 do 10000 m</t>
  </si>
  <si>
    <t>240</t>
  </si>
  <si>
    <t>32</t>
  </si>
  <si>
    <t>119001401R00</t>
  </si>
  <si>
    <t>Spojka kanalizační PP SN 8-10 D 800</t>
  </si>
  <si>
    <t>Příprava půdy pro výsadbu, ve svahu, strojní</t>
  </si>
  <si>
    <t>Odstranění dřevin výš.nad 1m, svah 1:2, bez pařezu</t>
  </si>
  <si>
    <t>460050513R00</t>
  </si>
  <si>
    <t>Objednatel:</t>
  </si>
  <si>
    <t>204</t>
  </si>
  <si>
    <t>Nasunutí potrubní sekce do chráničky DN 500</t>
  </si>
  <si>
    <t>390</t>
  </si>
  <si>
    <t>2865447006</t>
  </si>
  <si>
    <t>Osazení betonových dílců šachet do 2,0 t</t>
  </si>
  <si>
    <t>894421111R00</t>
  </si>
  <si>
    <t>Montáž sadového osvětlovacího stožáru - ocelový</t>
  </si>
  <si>
    <t>592238718</t>
  </si>
  <si>
    <t>458 dní</t>
  </si>
  <si>
    <t>PSV mat</t>
  </si>
  <si>
    <t>300</t>
  </si>
  <si>
    <t>280</t>
  </si>
  <si>
    <t>Zřízení vrstvy z geotextilie sklon do 1:5 š.do 3 m</t>
  </si>
  <si>
    <t>Odstranění doprav. značky ze sloupů nebo konzolí</t>
  </si>
  <si>
    <t>Dočasné zajištění ocelového potrubí DN 200-500 mm</t>
  </si>
  <si>
    <t>230194011R00</t>
  </si>
  <si>
    <t>273</t>
  </si>
  <si>
    <t>Příprava staveniště</t>
  </si>
  <si>
    <t>3</t>
  </si>
  <si>
    <t>Prstenec vyrovnávací šachetní TBW-Q.1 63/4</t>
  </si>
  <si>
    <t>Obalení vsakovacích bloků geotextílií</t>
  </si>
  <si>
    <t>Roubení</t>
  </si>
  <si>
    <t>Zakotvení/odkotvení vodičů,stožárů 1duchého ved.</t>
  </si>
  <si>
    <t>592238720</t>
  </si>
  <si>
    <t>85_</t>
  </si>
  <si>
    <t>308</t>
  </si>
  <si>
    <t>998276101R00</t>
  </si>
  <si>
    <t>114211212R00</t>
  </si>
  <si>
    <t>383</t>
  </si>
  <si>
    <t>102</t>
  </si>
  <si>
    <t>184802115R00</t>
  </si>
  <si>
    <t>Konus šachetní TBR-Q.1 100-63/58/12 KPS</t>
  </si>
  <si>
    <t>Výška stožáru i typ svítidla + výložník totožný s již použitými svítidli ul Sokolovská a Hus. náměstí.
Na Husově náměstí jsou u přechodů pro chodce osazeny svítidla LED výška 6,0M.
U poliliniky dojde pouze k přemístění svítidel.
U ostatních přechodů dojde k doplnění VO viz. PD. 
Svítidlo pro přechody pro chodce - typu zebra výška 6M. . Dle TKP 15  - u přechodů pro chodce telota chromatičnosti 1,5 násobek oproti ostatním svítidlům.</t>
  </si>
  <si>
    <t>Zhotovitel:</t>
  </si>
  <si>
    <t>žulová deska 40x40 - slepecká úprava přechod</t>
  </si>
  <si>
    <t>175101101RT2</t>
  </si>
  <si>
    <t>SO100b_Z_</t>
  </si>
  <si>
    <t>Naložení a odvoz zeminy</t>
  </si>
  <si>
    <t>M46_</t>
  </si>
  <si>
    <t>Krycí list slepého rozpočtu (SO100b - Neuznatelné náklady)</t>
  </si>
  <si>
    <t>96_</t>
  </si>
  <si>
    <t>877423122R00</t>
  </si>
  <si>
    <t>Montáž odvodňovacího žlabu - polymerbeton D 400</t>
  </si>
  <si>
    <t>210061221R00</t>
  </si>
  <si>
    <t>Beton asfalt. ACO 11+ obrusný, š.nad 3 m, tl. 4 cm</t>
  </si>
  <si>
    <t>Trubka kanalizační PP SN 10 315x6000mm</t>
  </si>
  <si>
    <t>296</t>
  </si>
  <si>
    <t>650511211R00</t>
  </si>
  <si>
    <t>Komunikace dlážděné D2-D-1-V-PII</t>
  </si>
  <si>
    <t>35</t>
  </si>
  <si>
    <t>M65</t>
  </si>
  <si>
    <t>Začátek výstavby:</t>
  </si>
  <si>
    <t>SO100b</t>
  </si>
  <si>
    <t>388</t>
  </si>
  <si>
    <t>381</t>
  </si>
  <si>
    <t>Spojka hrdlová jištěná, s přírubou (č. 7994), DN100,PN 16</t>
  </si>
  <si>
    <t>395</t>
  </si>
  <si>
    <t>132101213R00</t>
  </si>
  <si>
    <t>573111121R00</t>
  </si>
  <si>
    <t>Přeložka vodovodního řadu</t>
  </si>
  <si>
    <t>SO 303</t>
  </si>
  <si>
    <t>286144820</t>
  </si>
  <si>
    <t>A</t>
  </si>
  <si>
    <t>287</t>
  </si>
  <si>
    <t>208</t>
  </si>
  <si>
    <t>Přeložka jednotné kanalizace</t>
  </si>
  <si>
    <t>185804312R00</t>
  </si>
  <si>
    <t>SO304.1_9_</t>
  </si>
  <si>
    <t>Mont mat</t>
  </si>
  <si>
    <t>167101102R00</t>
  </si>
  <si>
    <t>163</t>
  </si>
  <si>
    <t>113108411R00</t>
  </si>
  <si>
    <t>13_</t>
  </si>
  <si>
    <t>Uložení zemin do násypů předeps. tvarů s urovnáním</t>
  </si>
  <si>
    <t>Mulčování rostlin tl. do 0,1 m rovina</t>
  </si>
  <si>
    <t>722</t>
  </si>
  <si>
    <t>Přesunutí či úprava polohy stávajících VO</t>
  </si>
  <si>
    <t>121101100R00</t>
  </si>
  <si>
    <t>Převedení vody potrubím o průměru do DN 300 mm</t>
  </si>
  <si>
    <t>59224361.A</t>
  </si>
  <si>
    <t>274</t>
  </si>
  <si>
    <t>Slepý stavební rozpočet</t>
  </si>
  <si>
    <t>407</t>
  </si>
  <si>
    <t>93</t>
  </si>
  <si>
    <t>285</t>
  </si>
  <si>
    <t>279</t>
  </si>
  <si>
    <t>SO 100a_1_</t>
  </si>
  <si>
    <t>uznatelné náklady</t>
  </si>
  <si>
    <t>871161121R00</t>
  </si>
  <si>
    <t>173</t>
  </si>
  <si>
    <t>SO 100a_</t>
  </si>
  <si>
    <t>157</t>
  </si>
  <si>
    <t>311</t>
  </si>
  <si>
    <t>55340397</t>
  </si>
  <si>
    <t>101</t>
  </si>
  <si>
    <t>10391505.A</t>
  </si>
  <si>
    <t>Podkladní vrstvy komunikací a zpevněných ploch</t>
  </si>
  <si>
    <t>75</t>
  </si>
  <si>
    <t>Nasunutí potrubní sekce do chráničky DN 200</t>
  </si>
  <si>
    <t>366</t>
  </si>
  <si>
    <t>Podklad z obal kam.ACP 16+,ACP 22+,do 3 m,tl. 7 cm</t>
  </si>
  <si>
    <t>54</t>
  </si>
  <si>
    <t>Zkouška těsnosti kanalizace DN do 600, vodou</t>
  </si>
  <si>
    <t>205</t>
  </si>
  <si>
    <t xml:space="preserve"> </t>
  </si>
  <si>
    <t>M23_</t>
  </si>
  <si>
    <t>Stavební úprava ul. Sokolovská</t>
  </si>
  <si>
    <t>16_</t>
  </si>
  <si>
    <t>Postřik infiltrační, množství zbytkového asfaltového pojiva 0,60 kg/m2</t>
  </si>
  <si>
    <t>136</t>
  </si>
  <si>
    <t>153</t>
  </si>
  <si>
    <t>892241111R00</t>
  </si>
  <si>
    <t>441</t>
  </si>
  <si>
    <t>SO 302_4_</t>
  </si>
  <si>
    <t>55243098</t>
  </si>
  <si>
    <t>387</t>
  </si>
  <si>
    <t>Vytrhání obrub obrubníků silničních</t>
  </si>
  <si>
    <t>Prstenec vyrovnávací šachetní TBW-Q.1 63/6</t>
  </si>
  <si>
    <t>334</t>
  </si>
  <si>
    <t>123</t>
  </si>
  <si>
    <t>3457114726</t>
  </si>
  <si>
    <t>Převedení vody potrubím o průměru do DN 600 mm</t>
  </si>
  <si>
    <t>159</t>
  </si>
  <si>
    <t>Dočasné zajištění ocelového potrubí do DN 200 mm</t>
  </si>
  <si>
    <t>Kryty pozemních komunikací, letišť a ploch dlážděných (předlažby)</t>
  </si>
  <si>
    <t>891247111R00</t>
  </si>
  <si>
    <t>Zapojení LED svítidla ve skříni</t>
  </si>
  <si>
    <t>T-kus PE s vnitřním závitem d 63 x 2"</t>
  </si>
  <si>
    <t>kg</t>
  </si>
  <si>
    <t>SO304.1_8_</t>
  </si>
  <si>
    <t>403</t>
  </si>
  <si>
    <t>59224348.A</t>
  </si>
  <si>
    <t>Objednatel</t>
  </si>
  <si>
    <t>286134607</t>
  </si>
  <si>
    <t>57</t>
  </si>
  <si>
    <t>257</t>
  </si>
  <si>
    <t>(Kč)</t>
  </si>
  <si>
    <t>Podklad ze štěrkodrti po zhutnění tloušťky 15 cm</t>
  </si>
  <si>
    <t>SO 301_5_</t>
  </si>
  <si>
    <t>Montáž trub z plastu, gumový kroužek, DN 150</t>
  </si>
  <si>
    <t>072002VRN</t>
  </si>
  <si>
    <t>871423121R00</t>
  </si>
  <si>
    <t>22</t>
  </si>
  <si>
    <t>mat. příčky a úvazky</t>
  </si>
  <si>
    <t>115</t>
  </si>
  <si>
    <t>894421111RT1</t>
  </si>
  <si>
    <t>Územní vlivy</t>
  </si>
  <si>
    <t>998231311R00</t>
  </si>
  <si>
    <t>Poplatek za skládku horniny 1- 4</t>
  </si>
  <si>
    <t>55259952</t>
  </si>
  <si>
    <t>SO100b_ _</t>
  </si>
  <si>
    <t>m3</t>
  </si>
  <si>
    <t>650125223R00</t>
  </si>
  <si>
    <t>Odstranění pažení stěn rýh - příložné - hl. do 2 m</t>
  </si>
  <si>
    <t>115101301R00</t>
  </si>
  <si>
    <t>265</t>
  </si>
  <si>
    <t>259</t>
  </si>
  <si>
    <t>411</t>
  </si>
  <si>
    <t>Montáž trub kanaliz. z plastu, hrdlových, DN 150</t>
  </si>
  <si>
    <t>Zkouška těsnosti kanalizace DN do 400, vodou</t>
  </si>
  <si>
    <t>141741122R00</t>
  </si>
  <si>
    <t>Datum:</t>
  </si>
  <si>
    <t>91_</t>
  </si>
  <si>
    <t>07VRN_</t>
  </si>
  <si>
    <t>HAWLE poklop uliční šoupátkový 1750  - voda</t>
  </si>
  <si>
    <t>215</t>
  </si>
  <si>
    <t>2865350015</t>
  </si>
  <si>
    <t>27</t>
  </si>
  <si>
    <t>Sejmutí ornice s přemístěním do 50 m</t>
  </si>
  <si>
    <t>SO 303_9_</t>
  </si>
  <si>
    <t>37</t>
  </si>
  <si>
    <t>80</t>
  </si>
  <si>
    <t>m2</t>
  </si>
  <si>
    <t>41</t>
  </si>
  <si>
    <t>337</t>
  </si>
  <si>
    <t>59_</t>
  </si>
  <si>
    <t>Bau-projekt spol s.r.o. Jan Hyliš</t>
  </si>
  <si>
    <t>877313123R00</t>
  </si>
  <si>
    <t>186</t>
  </si>
  <si>
    <t>Přesun hmot a sutí</t>
  </si>
  <si>
    <t>NUS z rozpočtu</t>
  </si>
  <si>
    <t>55258534</t>
  </si>
  <si>
    <t>Desinfekce vodovodního potrubí DN 80-125</t>
  </si>
  <si>
    <t>251</t>
  </si>
  <si>
    <t>Postřik infiltrační s posypem, asfalt 2,5 kg/m2</t>
  </si>
  <si>
    <t>59224349.A</t>
  </si>
  <si>
    <t>422935323</t>
  </si>
  <si>
    <t>1</t>
  </si>
  <si>
    <t>206</t>
  </si>
  <si>
    <t>7</t>
  </si>
  <si>
    <t>Substrát zahradnický B  VL</t>
  </si>
  <si>
    <t>Osazení mříží litinových s rámem do 150kg</t>
  </si>
  <si>
    <t>236</t>
  </si>
  <si>
    <t>Rozměry</t>
  </si>
  <si>
    <t>119001402R00</t>
  </si>
  <si>
    <t>321</t>
  </si>
  <si>
    <t>Montáž navrtávacích pasů DN 100</t>
  </si>
  <si>
    <t>449</t>
  </si>
  <si>
    <t>SO 304</t>
  </si>
  <si>
    <t>Dno šachetní přímé TBZ-Q.1 100/60 V40, CV</t>
  </si>
  <si>
    <t>350</t>
  </si>
  <si>
    <t>74</t>
  </si>
  <si>
    <t>Položek:</t>
  </si>
  <si>
    <t>NUS celkem</t>
  </si>
  <si>
    <t>WORK</t>
  </si>
  <si>
    <t>Povrchové úpravy terénu</t>
  </si>
  <si>
    <t>164</t>
  </si>
  <si>
    <t>114211105R00</t>
  </si>
  <si>
    <t>230195038R00</t>
  </si>
  <si>
    <t>452</t>
  </si>
  <si>
    <t>131</t>
  </si>
  <si>
    <t>Javor babyka - Acer campestre, vysokokmen</t>
  </si>
  <si>
    <t>83</t>
  </si>
  <si>
    <t>Kohout rozebíratelný s páčkou d 32 mm PP nebo PE, svěrná hrdla</t>
  </si>
  <si>
    <t>00572472</t>
  </si>
  <si>
    <t>Řezání stávajícího živičného krytu tl. 10 - 15 cm</t>
  </si>
  <si>
    <t>213</t>
  </si>
  <si>
    <t>93_</t>
  </si>
  <si>
    <t>114</t>
  </si>
  <si>
    <t>Příplatek za ztížené hloubení v blízkosti vedení</t>
  </si>
  <si>
    <t>47</t>
  </si>
  <si>
    <t>111212122R00</t>
  </si>
  <si>
    <t>Spojka kanalizační PP SN 8-10 D 160</t>
  </si>
  <si>
    <t>384</t>
  </si>
  <si>
    <t>Objímka distanční PEHD 41mm  301-320mm</t>
  </si>
  <si>
    <t>Přirážka za 1 spoj elektrotvarovky d 32 mm</t>
  </si>
  <si>
    <t>HSV mat</t>
  </si>
  <si>
    <t>294</t>
  </si>
  <si>
    <t>113106002RAB</t>
  </si>
  <si>
    <t>400</t>
  </si>
  <si>
    <t>SO</t>
  </si>
  <si>
    <t>877373122R00</t>
  </si>
  <si>
    <t>M21_</t>
  </si>
  <si>
    <t>348</t>
  </si>
  <si>
    <t>177</t>
  </si>
  <si>
    <t>010001VRN</t>
  </si>
  <si>
    <t>66</t>
  </si>
  <si>
    <t>970051300R00</t>
  </si>
  <si>
    <t>Montáž distanční objímky celistvých d 106-123 mm</t>
  </si>
  <si>
    <t>56_</t>
  </si>
  <si>
    <t>sadové úpravy</t>
  </si>
  <si>
    <t>rozměr v 1M 12/14
kultivar - Elsrijk</t>
  </si>
  <si>
    <t>Trubka kanalizační PP SN 10 160x3000mm</t>
  </si>
  <si>
    <t>55149033</t>
  </si>
  <si>
    <t>365</t>
  </si>
  <si>
    <t>Kostka dlažební drobná 10/12 štípaná Itř. 1t=4,0m2</t>
  </si>
  <si>
    <t>113106231R00</t>
  </si>
  <si>
    <t>414</t>
  </si>
  <si>
    <t>288</t>
  </si>
  <si>
    <t>915712111RT1</t>
  </si>
  <si>
    <t>14_</t>
  </si>
  <si>
    <t>201</t>
  </si>
  <si>
    <t>SO 301_4_</t>
  </si>
  <si>
    <t>347</t>
  </si>
  <si>
    <t>155</t>
  </si>
  <si>
    <t>Montáž vpusti nebo čistícího kusu pro žlaby polymerbetonové či betonové D400</t>
  </si>
  <si>
    <t>247</t>
  </si>
  <si>
    <t>Montáž vsakovacího bloku nebo tunelu do V 450 l</t>
  </si>
  <si>
    <t>90</t>
  </si>
  <si>
    <t>59515511</t>
  </si>
  <si>
    <t>výložník a svítidlo přechodové - provedení zebra</t>
  </si>
  <si>
    <t>M23</t>
  </si>
  <si>
    <t>SO 305_4_</t>
  </si>
  <si>
    <t>210</t>
  </si>
  <si>
    <t>89</t>
  </si>
  <si>
    <t>Krycí list slepého rozpočtu (SO 303 - Přípojky jednotné kanalizace)</t>
  </si>
  <si>
    <t>245</t>
  </si>
  <si>
    <t>01.06.2023</t>
  </si>
  <si>
    <t>354</t>
  </si>
  <si>
    <t>Fólie výstražná z PVC bílá, šířka 30 cm</t>
  </si>
  <si>
    <t>447</t>
  </si>
  <si>
    <t>179</t>
  </si>
  <si>
    <t>892273111R00</t>
  </si>
  <si>
    <t>Uložení kabelu Cu 5 x 25 mm2 do trubky</t>
  </si>
  <si>
    <t>M65_</t>
  </si>
  <si>
    <t>Manžeta na chráničky EPDM 110 x 220 mm</t>
  </si>
  <si>
    <t>SO 304_72_</t>
  </si>
  <si>
    <t>185</t>
  </si>
  <si>
    <t>88</t>
  </si>
  <si>
    <t>286144828</t>
  </si>
  <si>
    <t>Směs travní luční III. - dlouhodobá PROFI</t>
  </si>
  <si>
    <t>úsek</t>
  </si>
  <si>
    <t>286538003</t>
  </si>
  <si>
    <t>41195420</t>
  </si>
  <si>
    <t>Rozprostření ornice, svah, tl. do 10 cm, do 500 m2</t>
  </si>
  <si>
    <t>Trativody z PVC drenážních flexibilních trubek</t>
  </si>
  <si>
    <t>148</t>
  </si>
  <si>
    <t>Deska podkladová pod hydrantové poklopy</t>
  </si>
  <si>
    <t>SO304.1_</t>
  </si>
  <si>
    <t>Montáž distanční objímky segmentových d 361-400 mm</t>
  </si>
  <si>
    <t>344</t>
  </si>
  <si>
    <t>Desky podkladní pod potrubí z betonu C 12/15</t>
  </si>
  <si>
    <t>326</t>
  </si>
  <si>
    <t>303</t>
  </si>
  <si>
    <t>Zkrácený popis</t>
  </si>
  <si>
    <t>592262131</t>
  </si>
  <si>
    <t>443</t>
  </si>
  <si>
    <t>28</t>
  </si>
  <si>
    <t>111</t>
  </si>
  <si>
    <t>SO_1_</t>
  </si>
  <si>
    <t>Fólie výstražná šířka 34 cm červená síťovina</t>
  </si>
  <si>
    <t>Trubka vodovodní PE RC Protect SDR 11 110x10,0 mm</t>
  </si>
  <si>
    <t>00572442</t>
  </si>
  <si>
    <t>Trubka kanalizační PP SN 10 315x3000mm</t>
  </si>
  <si>
    <t>312</t>
  </si>
  <si>
    <t>417</t>
  </si>
  <si>
    <t>239</t>
  </si>
  <si>
    <t>58572000</t>
  </si>
  <si>
    <t>CELK</t>
  </si>
  <si>
    <t>113</t>
  </si>
  <si>
    <t>106</t>
  </si>
  <si>
    <t>376</t>
  </si>
  <si>
    <t>151101101R00</t>
  </si>
  <si>
    <t>425</t>
  </si>
  <si>
    <t>Beton asfalt. ACO 11+ obrusný, š. do 3 m, tl. 4 cm</t>
  </si>
  <si>
    <t>Vodič signalizační CYY 6 mm2</t>
  </si>
  <si>
    <t>650106313R00</t>
  </si>
  <si>
    <t>65</t>
  </si>
  <si>
    <t>339</t>
  </si>
  <si>
    <t>Prorážení otvorů a ostatní bourací práce</t>
  </si>
  <si>
    <t>244</t>
  </si>
  <si>
    <t>Krycí list slepého rozpočtu (SO 305 - Vodovodní přípojky)</t>
  </si>
  <si>
    <t>301</t>
  </si>
  <si>
    <t>169</t>
  </si>
  <si>
    <t>597101035RA100</t>
  </si>
  <si>
    <t>34</t>
  </si>
  <si>
    <t>62</t>
  </si>
  <si>
    <t>193</t>
  </si>
  <si>
    <t>174100050RAB</t>
  </si>
  <si>
    <t>432</t>
  </si>
  <si>
    <t>SO100b_1_</t>
  </si>
  <si>
    <t>857262121R00</t>
  </si>
  <si>
    <t>335</t>
  </si>
  <si>
    <t>Trubka kanalizační PP SN 10 800x6000mm</t>
  </si>
  <si>
    <t>428</t>
  </si>
  <si>
    <t>415</t>
  </si>
  <si>
    <t>871393121R00</t>
  </si>
  <si>
    <t>218</t>
  </si>
  <si>
    <t>Úprava pláně v násypech v hor. 1-4, se zhutněním</t>
  </si>
  <si>
    <t>341</t>
  </si>
  <si>
    <t>141741114R00</t>
  </si>
  <si>
    <t>SO 100a</t>
  </si>
  <si>
    <t>SO 800_1_</t>
  </si>
  <si>
    <t>Vodorovné přemíst.výkopku z rýh pod.stěn do 2000 m</t>
  </si>
  <si>
    <t>Zkouška těsnosti kanalizace DN do 200, vodou</t>
  </si>
  <si>
    <t>113107630R00</t>
  </si>
  <si>
    <t>28655428</t>
  </si>
  <si>
    <t>Spadiště kanal. z betonu jednod.,dno čedič, DN 300</t>
  </si>
  <si>
    <t>917832111RT8</t>
  </si>
  <si>
    <t>Trubka bezešvá hladká 11353.1  D 219x8,0 mm</t>
  </si>
  <si>
    <t>42228312</t>
  </si>
  <si>
    <t>Montáž trub kanaliz. z plastu, hrdlových, DN 600</t>
  </si>
  <si>
    <t>293</t>
  </si>
  <si>
    <t>Vnitřní kanalizace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</si>
</sst>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7">
    <font>
      <sz val="8"/>
      <name val="Arial"/>
      <family val="0"/>
    </font>
    <font>
      <sz val="11"/>
      <name val="Arial"/>
      <family val="0"/>
    </font>
    <font>
      <sz val="11"/>
      <name val="Calibri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i/>
      <sz val="10"/>
      <color indexed="8"/>
      <name val="Arial"/>
      <family val="0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0"/>
    </font>
    <font>
      <sz val="12"/>
      <color rgb="FF000000"/>
      <name val="Arial"/>
      <family val="0"/>
    </font>
    <font>
      <b/>
      <sz val="10"/>
      <color rgb="FF000000"/>
      <name val="Arial"/>
      <family val="0"/>
    </font>
    <font>
      <i/>
      <sz val="8"/>
      <color rgb="FF000000"/>
      <name val="Arial"/>
      <family val="0"/>
    </font>
    <font>
      <i/>
      <sz val="10"/>
      <color rgb="FF000000"/>
      <name val="Arial"/>
      <family val="0"/>
    </font>
    <font>
      <b/>
      <sz val="20"/>
      <color rgb="FF000000"/>
      <name val="Arial"/>
      <family val="0"/>
    </font>
    <font>
      <sz val="1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9">
    <xf numFmtId="0" fontId="2" fillId="0" borderId="0" xfId="0" applyNumberFormat="1" applyFont="1" applyFill="1" applyBorder="1" applyAlignment="1" applyProtection="1">
      <alignment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11" xfId="0" applyNumberFormat="1" applyFont="1" applyFill="1" applyBorder="1" applyAlignment="1" applyProtection="1">
      <alignment horizontal="right" vertical="center"/>
      <protection/>
    </xf>
    <xf numFmtId="0" fontId="49" fillId="0" borderId="12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14" xfId="0" applyNumberFormat="1" applyFont="1" applyFill="1" applyBorder="1" applyAlignment="1" applyProtection="1">
      <alignment horizontal="center" vertical="center"/>
      <protection/>
    </xf>
    <xf numFmtId="0" fontId="52" fillId="33" borderId="15" xfId="0" applyNumberFormat="1" applyFont="1" applyFill="1" applyBorder="1" applyAlignment="1" applyProtection="1">
      <alignment horizontal="center" vertical="center"/>
      <protection/>
    </xf>
    <xf numFmtId="0" fontId="53" fillId="0" borderId="16" xfId="0" applyNumberFormat="1" applyFont="1" applyFill="1" applyBorder="1" applyAlignment="1" applyProtection="1">
      <alignment horizontal="right" vertical="center"/>
      <protection/>
    </xf>
    <xf numFmtId="0" fontId="53" fillId="0" borderId="17" xfId="0" applyNumberFormat="1" applyFont="1" applyFill="1" applyBorder="1" applyAlignment="1" applyProtection="1">
      <alignment horizontal="left" vertical="center"/>
      <protection/>
    </xf>
    <xf numFmtId="0" fontId="49" fillId="0" borderId="18" xfId="0" applyNumberFormat="1" applyFont="1" applyFill="1" applyBorder="1" applyAlignment="1" applyProtection="1">
      <alignment horizontal="center" vertical="center"/>
      <protection/>
    </xf>
    <xf numFmtId="4" fontId="53" fillId="0" borderId="0" xfId="0" applyNumberFormat="1" applyFont="1" applyFill="1" applyBorder="1" applyAlignment="1" applyProtection="1">
      <alignment horizontal="right" vertical="center"/>
      <protection/>
    </xf>
    <xf numFmtId="0" fontId="53" fillId="0" borderId="19" xfId="0" applyNumberFormat="1" applyFont="1" applyFill="1" applyBorder="1" applyAlignment="1" applyProtection="1">
      <alignment horizontal="left" vertical="center"/>
      <protection/>
    </xf>
    <xf numFmtId="0" fontId="53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4" fontId="48" fillId="0" borderId="11" xfId="0" applyNumberFormat="1" applyFont="1" applyFill="1" applyBorder="1" applyAlignment="1" applyProtection="1">
      <alignment horizontal="righ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53" fillId="0" borderId="21" xfId="0" applyNumberFormat="1" applyFont="1" applyFill="1" applyBorder="1" applyAlignment="1" applyProtection="1">
      <alignment horizontal="left" vertical="center"/>
      <protection/>
    </xf>
    <xf numFmtId="0" fontId="49" fillId="33" borderId="0" xfId="0" applyNumberFormat="1" applyFont="1" applyFill="1" applyBorder="1" applyAlignment="1" applyProtection="1">
      <alignment horizontal="right" vertical="center"/>
      <protection/>
    </xf>
    <xf numFmtId="0" fontId="49" fillId="33" borderId="0" xfId="0" applyNumberFormat="1" applyFont="1" applyFill="1" applyBorder="1" applyAlignment="1" applyProtection="1">
      <alignment horizontal="right" vertical="center"/>
      <protection/>
    </xf>
    <xf numFmtId="0" fontId="49" fillId="0" borderId="22" xfId="0" applyNumberFormat="1" applyFont="1" applyFill="1" applyBorder="1" applyAlignment="1" applyProtection="1">
      <alignment horizontal="center" vertical="center"/>
      <protection/>
    </xf>
    <xf numFmtId="0" fontId="49" fillId="0" borderId="23" xfId="0" applyNumberFormat="1" applyFont="1" applyFill="1" applyBorder="1" applyAlignment="1" applyProtection="1">
      <alignment horizontal="center" vertical="center"/>
      <protection/>
    </xf>
    <xf numFmtId="0" fontId="53" fillId="0" borderId="24" xfId="0" applyNumberFormat="1" applyFont="1" applyFill="1" applyBorder="1" applyAlignment="1" applyProtection="1">
      <alignment horizontal="right" vertical="center"/>
      <protection/>
    </xf>
    <xf numFmtId="0" fontId="49" fillId="0" borderId="25" xfId="0" applyNumberFormat="1" applyFont="1" applyFill="1" applyBorder="1" applyAlignment="1" applyProtection="1">
      <alignment horizontal="center" vertical="center"/>
      <protection/>
    </xf>
    <xf numFmtId="0" fontId="53" fillId="0" borderId="26" xfId="0" applyNumberFormat="1" applyFont="1" applyFill="1" applyBorder="1" applyAlignment="1" applyProtection="1">
      <alignment horizontal="left" vertical="center"/>
      <protection/>
    </xf>
    <xf numFmtId="4" fontId="48" fillId="0" borderId="16" xfId="0" applyNumberFormat="1" applyFont="1" applyFill="1" applyBorder="1" applyAlignment="1" applyProtection="1">
      <alignment horizontal="right" vertical="center"/>
      <protection/>
    </xf>
    <xf numFmtId="0" fontId="53" fillId="33" borderId="0" xfId="0" applyNumberFormat="1" applyFont="1" applyFill="1" applyBorder="1" applyAlignment="1" applyProtection="1">
      <alignment horizontal="left" vertical="center"/>
      <protection/>
    </xf>
    <xf numFmtId="0" fontId="49" fillId="0" borderId="13" xfId="0" applyNumberFormat="1" applyFont="1" applyFill="1" applyBorder="1" applyAlignment="1" applyProtection="1">
      <alignment horizontal="left" vertical="center"/>
      <protection/>
    </xf>
    <xf numFmtId="0" fontId="53" fillId="33" borderId="17" xfId="0" applyNumberFormat="1" applyFont="1" applyFill="1" applyBorder="1" applyAlignment="1" applyProtection="1">
      <alignment horizontal="left" vertical="center"/>
      <protection/>
    </xf>
    <xf numFmtId="0" fontId="48" fillId="0" borderId="24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53" fillId="33" borderId="17" xfId="0" applyNumberFormat="1" applyFont="1" applyFill="1" applyBorder="1" applyAlignment="1" applyProtection="1">
      <alignment horizontal="left" vertical="center"/>
      <protection/>
    </xf>
    <xf numFmtId="4" fontId="47" fillId="33" borderId="24" xfId="0" applyNumberFormat="1" applyFont="1" applyFill="1" applyBorder="1" applyAlignment="1" applyProtection="1">
      <alignment horizontal="right" vertical="center"/>
      <protection/>
    </xf>
    <xf numFmtId="0" fontId="49" fillId="33" borderId="16" xfId="0" applyNumberFormat="1" applyFont="1" applyFill="1" applyBorder="1" applyAlignment="1" applyProtection="1">
      <alignment horizontal="right" vertical="center"/>
      <protection/>
    </xf>
    <xf numFmtId="4" fontId="53" fillId="0" borderId="21" xfId="0" applyNumberFormat="1" applyFont="1" applyFill="1" applyBorder="1" applyAlignment="1" applyProtection="1">
      <alignment horizontal="right" vertical="center"/>
      <protection/>
    </xf>
    <xf numFmtId="0" fontId="49" fillId="0" borderId="27" xfId="0" applyNumberFormat="1" applyFont="1" applyFill="1" applyBorder="1" applyAlignment="1" applyProtection="1">
      <alignment horizontal="center" vertical="center"/>
      <protection/>
    </xf>
    <xf numFmtId="0" fontId="48" fillId="0" borderId="24" xfId="0" applyNumberFormat="1" applyFont="1" applyFill="1" applyBorder="1" applyAlignment="1" applyProtection="1">
      <alignment horizontal="right" vertical="center"/>
      <protection/>
    </xf>
    <xf numFmtId="0" fontId="2" fillId="0" borderId="17" xfId="0" applyNumberFormat="1" applyFont="1" applyFill="1" applyBorder="1" applyAlignment="1" applyProtection="1">
      <alignment/>
      <protection/>
    </xf>
    <xf numFmtId="4" fontId="48" fillId="0" borderId="24" xfId="0" applyNumberFormat="1" applyFont="1" applyFill="1" applyBorder="1" applyAlignment="1" applyProtection="1">
      <alignment horizontal="right" vertical="center"/>
      <protection/>
    </xf>
    <xf numFmtId="0" fontId="52" fillId="33" borderId="11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right" vertical="center"/>
      <protection/>
    </xf>
    <xf numFmtId="4" fontId="49" fillId="33" borderId="0" xfId="0" applyNumberFormat="1" applyFont="1" applyFill="1" applyBorder="1" applyAlignment="1" applyProtection="1">
      <alignment horizontal="righ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49" fillId="0" borderId="28" xfId="0" applyNumberFormat="1" applyFont="1" applyFill="1" applyBorder="1" applyAlignment="1" applyProtection="1">
      <alignment horizontal="center" vertical="center"/>
      <protection/>
    </xf>
    <xf numFmtId="0" fontId="49" fillId="0" borderId="29" xfId="0" applyNumberFormat="1" applyFont="1" applyFill="1" applyBorder="1" applyAlignment="1" applyProtection="1">
      <alignment horizontal="center" vertical="center"/>
      <protection/>
    </xf>
    <xf numFmtId="0" fontId="49" fillId="33" borderId="16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2" xfId="0" applyNumberFormat="1" applyFont="1" applyFill="1" applyBorder="1" applyAlignment="1" applyProtection="1">
      <alignment horizontal="center" vertical="center"/>
      <protection/>
    </xf>
    <xf numFmtId="0" fontId="49" fillId="0" borderId="30" xfId="0" applyNumberFormat="1" applyFont="1" applyFill="1" applyBorder="1" applyAlignment="1" applyProtection="1">
      <alignment horizontal="left" vertical="center"/>
      <protection/>
    </xf>
    <xf numFmtId="4" fontId="49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31" xfId="0" applyNumberFormat="1" applyFont="1" applyFill="1" applyBorder="1" applyAlignment="1" applyProtection="1">
      <alignment horizontal="center" vertical="center"/>
      <protection/>
    </xf>
    <xf numFmtId="0" fontId="53" fillId="0" borderId="25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4" fontId="47" fillId="33" borderId="11" xfId="0" applyNumberFormat="1" applyFont="1" applyFill="1" applyBorder="1" applyAlignment="1" applyProtection="1">
      <alignment horizontal="right" vertical="center"/>
      <protection/>
    </xf>
    <xf numFmtId="4" fontId="49" fillId="33" borderId="0" xfId="0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32" xfId="0" applyNumberFormat="1" applyFont="1" applyFill="1" applyBorder="1" applyAlignment="1" applyProtection="1">
      <alignment horizontal="left" vertical="center" wrapText="1"/>
      <protection/>
    </xf>
    <xf numFmtId="0" fontId="53" fillId="0" borderId="33" xfId="0" applyNumberFormat="1" applyFont="1" applyFill="1" applyBorder="1" applyAlignment="1" applyProtection="1">
      <alignment horizontal="left" vertical="center"/>
      <protection/>
    </xf>
    <xf numFmtId="0" fontId="53" fillId="0" borderId="17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17" xfId="0" applyNumberFormat="1" applyFont="1" applyFill="1" applyBorder="1" applyAlignment="1" applyProtection="1">
      <alignment horizontal="left" vertical="center" wrapText="1"/>
      <protection/>
    </xf>
    <xf numFmtId="0" fontId="53" fillId="0" borderId="33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33" xfId="0" applyNumberFormat="1" applyFont="1" applyFill="1" applyBorder="1" applyAlignment="1" applyProtection="1">
      <alignment horizontal="left" vertical="center" wrapText="1"/>
      <protection/>
    </xf>
    <xf numFmtId="0" fontId="49" fillId="0" borderId="33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34" xfId="0" applyNumberFormat="1" applyFont="1" applyFill="1" applyBorder="1" applyAlignment="1" applyProtection="1">
      <alignment horizontal="left" vertical="center"/>
      <protection/>
    </xf>
    <xf numFmtId="0" fontId="53" fillId="0" borderId="16" xfId="0" applyNumberFormat="1" applyFont="1" applyFill="1" applyBorder="1" applyAlignment="1" applyProtection="1">
      <alignment horizontal="left" vertical="center"/>
      <protection/>
    </xf>
    <xf numFmtId="0" fontId="53" fillId="0" borderId="21" xfId="0" applyNumberFormat="1" applyFont="1" applyFill="1" applyBorder="1" applyAlignment="1" applyProtection="1">
      <alignment horizontal="left" vertical="center"/>
      <protection/>
    </xf>
    <xf numFmtId="0" fontId="49" fillId="0" borderId="28" xfId="0" applyNumberFormat="1" applyFont="1" applyFill="1" applyBorder="1" applyAlignment="1" applyProtection="1">
      <alignment horizontal="left" vertical="center"/>
      <protection/>
    </xf>
    <xf numFmtId="0" fontId="49" fillId="0" borderId="25" xfId="0" applyNumberFormat="1" applyFont="1" applyFill="1" applyBorder="1" applyAlignment="1" applyProtection="1">
      <alignment horizontal="lef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 wrapText="1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16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26" xfId="0" applyNumberFormat="1" applyFont="1" applyFill="1" applyBorder="1" applyAlignment="1" applyProtection="1">
      <alignment horizontal="left" vertical="center"/>
      <protection/>
    </xf>
    <xf numFmtId="1" fontId="53" fillId="0" borderId="16" xfId="0" applyNumberFormat="1" applyFont="1" applyFill="1" applyBorder="1" applyAlignment="1" applyProtection="1">
      <alignment horizontal="left" vertical="center"/>
      <protection/>
    </xf>
    <xf numFmtId="0" fontId="53" fillId="0" borderId="16" xfId="0" applyNumberFormat="1" applyFont="1" applyFill="1" applyBorder="1" applyAlignment="1" applyProtection="1">
      <alignment horizontal="left" vertical="center" wrapText="1"/>
      <protection/>
    </xf>
    <xf numFmtId="0" fontId="53" fillId="0" borderId="24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35" xfId="0" applyNumberFormat="1" applyFont="1" applyFill="1" applyBorder="1" applyAlignment="1" applyProtection="1">
      <alignment horizontal="left" vertical="center"/>
      <protection/>
    </xf>
    <xf numFmtId="0" fontId="56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26" xfId="0" applyNumberFormat="1" applyFont="1" applyFill="1" applyBorder="1" applyAlignment="1" applyProtection="1">
      <alignment horizontal="left" vertical="center"/>
      <protection/>
    </xf>
    <xf numFmtId="0" fontId="47" fillId="0" borderId="24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36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8" fillId="0" borderId="21" xfId="0" applyNumberFormat="1" applyFont="1" applyFill="1" applyBorder="1" applyAlignment="1" applyProtection="1">
      <alignment horizontal="left" vertical="center"/>
      <protection/>
    </xf>
    <xf numFmtId="0" fontId="48" fillId="0" borderId="24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35" xfId="0" applyNumberFormat="1" applyFont="1" applyFill="1" applyBorder="1" applyAlignment="1" applyProtection="1">
      <alignment horizontal="left" vertical="center"/>
      <protection/>
    </xf>
    <xf numFmtId="0" fontId="47" fillId="0" borderId="21" xfId="0" applyNumberFormat="1" applyFont="1" applyFill="1" applyBorder="1" applyAlignment="1" applyProtection="1">
      <alignment horizontal="left" vertical="center"/>
      <protection/>
    </xf>
    <xf numFmtId="0" fontId="47" fillId="33" borderId="36" xfId="0" applyNumberFormat="1" applyFont="1" applyFill="1" applyBorder="1" applyAlignment="1" applyProtection="1">
      <alignment horizontal="left" vertical="center"/>
      <protection/>
    </xf>
    <xf numFmtId="0" fontId="47" fillId="33" borderId="35" xfId="0" applyNumberFormat="1" applyFont="1" applyFill="1" applyBorder="1" applyAlignment="1" applyProtection="1">
      <alignment horizontal="left" vertical="center"/>
      <protection/>
    </xf>
    <xf numFmtId="0" fontId="47" fillId="33" borderId="26" xfId="0" applyNumberFormat="1" applyFont="1" applyFill="1" applyBorder="1" applyAlignment="1" applyProtection="1">
      <alignment horizontal="left" vertical="center"/>
      <protection/>
    </xf>
    <xf numFmtId="0" fontId="47" fillId="33" borderId="21" xfId="0" applyNumberFormat="1" applyFont="1" applyFill="1" applyBorder="1" applyAlignment="1" applyProtection="1">
      <alignment horizontal="left" vertical="center"/>
      <protection/>
    </xf>
    <xf numFmtId="0" fontId="48" fillId="0" borderId="37" xfId="0" applyNumberFormat="1" applyFont="1" applyFill="1" applyBorder="1" applyAlignment="1" applyProtection="1">
      <alignment horizontal="left" vertical="center"/>
      <protection/>
    </xf>
    <xf numFmtId="0" fontId="48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38" xfId="0" applyNumberFormat="1" applyFont="1" applyFill="1" applyBorder="1" applyAlignment="1" applyProtection="1">
      <alignment horizontal="left" vertical="center"/>
      <protection/>
    </xf>
    <xf numFmtId="0" fontId="48" fillId="0" borderId="39" xfId="0" applyNumberFormat="1" applyFont="1" applyFill="1" applyBorder="1" applyAlignment="1" applyProtection="1">
      <alignment horizontal="left" vertical="center"/>
      <protection/>
    </xf>
    <xf numFmtId="0" fontId="48" fillId="0" borderId="40" xfId="0" applyNumberFormat="1" applyFont="1" applyFill="1" applyBorder="1" applyAlignment="1" applyProtection="1">
      <alignment horizontal="left" vertical="center"/>
      <protection/>
    </xf>
    <xf numFmtId="0" fontId="48" fillId="0" borderId="41" xfId="0" applyNumberFormat="1" applyFont="1" applyFill="1" applyBorder="1" applyAlignment="1" applyProtection="1">
      <alignment horizontal="left" vertical="center"/>
      <protection/>
    </xf>
    <xf numFmtId="0" fontId="48" fillId="0" borderId="28" xfId="0" applyNumberFormat="1" applyFont="1" applyFill="1" applyBorder="1" applyAlignment="1" applyProtection="1">
      <alignment horizontal="left" vertical="center"/>
      <protection/>
    </xf>
    <xf numFmtId="0" fontId="48" fillId="0" borderId="23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18"/>
  <sheetViews>
    <sheetView tabSelected="1" showOutlineSymbols="0" zoomScalePageLayoutView="0" workbookViewId="0" topLeftCell="A1">
      <pane ySplit="11" topLeftCell="A12" activePane="bottomLeft" state="frozen"/>
      <selection pane="topLeft" activeCell="A618" sqref="A618:O618"/>
      <selection pane="bottomLeft" activeCell="A1" sqref="A1:O1"/>
    </sheetView>
  </sheetViews>
  <sheetFormatPr defaultColWidth="14.16015625" defaultRowHeight="15" customHeight="1"/>
  <cols>
    <col min="1" max="1" width="4.66015625" style="0" customWidth="1"/>
    <col min="2" max="2" width="9.66015625" style="0" customWidth="1"/>
    <col min="3" max="3" width="20.83203125" style="0" customWidth="1"/>
    <col min="4" max="4" width="1.66796875" style="0" customWidth="1"/>
    <col min="5" max="5" width="79.66015625" style="0" customWidth="1"/>
    <col min="6" max="7" width="14.16015625" style="0" customWidth="1"/>
    <col min="8" max="8" width="7.83203125" style="0" customWidth="1"/>
    <col min="9" max="9" width="15" style="0" customWidth="1"/>
    <col min="10" max="10" width="14" style="0" customWidth="1"/>
    <col min="11" max="13" width="18.33203125" style="0" customWidth="1"/>
    <col min="14" max="14" width="13.66015625" style="0" customWidth="1"/>
    <col min="15" max="15" width="15.66015625" style="0" customWidth="1"/>
    <col min="16" max="24" width="14.16015625" style="0" customWidth="1"/>
    <col min="25" max="74" width="14.16015625" style="0" hidden="1" customWidth="1"/>
  </cols>
  <sheetData>
    <row r="1" spans="1:47" ht="54.75" customHeight="1">
      <c r="A1" s="57" t="s">
        <v>1125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AS1" s="56">
        <f>SUM(AJ1:AJ2)</f>
        <v>0</v>
      </c>
      <c r="AT1" s="56">
        <f>SUM(AK1:AK2)</f>
        <v>0</v>
      </c>
      <c r="AU1" s="56">
        <f>SUM(AL1:AL2)</f>
        <v>0</v>
      </c>
    </row>
    <row r="2" spans="1:15" ht="15" customHeight="1">
      <c r="A2" s="58" t="s">
        <v>86</v>
      </c>
      <c r="B2" s="59"/>
      <c r="C2" s="65" t="s">
        <v>1150</v>
      </c>
      <c r="D2" s="66"/>
      <c r="E2" s="66"/>
      <c r="F2" s="59" t="s">
        <v>10</v>
      </c>
      <c r="G2" s="59"/>
      <c r="H2" s="59" t="s">
        <v>1052</v>
      </c>
      <c r="I2" s="59"/>
      <c r="J2" s="63" t="s">
        <v>1043</v>
      </c>
      <c r="K2" s="59" t="s">
        <v>559</v>
      </c>
      <c r="L2" s="59"/>
      <c r="M2" s="59"/>
      <c r="N2" s="59"/>
      <c r="O2" s="68"/>
    </row>
    <row r="3" spans="1:15" ht="15" customHeight="1">
      <c r="A3" s="60"/>
      <c r="B3" s="61"/>
      <c r="C3" s="67"/>
      <c r="D3" s="67"/>
      <c r="E3" s="67"/>
      <c r="F3" s="61"/>
      <c r="G3" s="61"/>
      <c r="H3" s="61"/>
      <c r="I3" s="61"/>
      <c r="J3" s="61"/>
      <c r="K3" s="61"/>
      <c r="L3" s="61"/>
      <c r="M3" s="61"/>
      <c r="N3" s="61"/>
      <c r="O3" s="69"/>
    </row>
    <row r="4" spans="1:15" ht="15" customHeight="1">
      <c r="A4" s="62" t="s">
        <v>674</v>
      </c>
      <c r="B4" s="61"/>
      <c r="C4" s="64" t="s">
        <v>338</v>
      </c>
      <c r="D4" s="61"/>
      <c r="E4" s="61"/>
      <c r="F4" s="61" t="s">
        <v>1095</v>
      </c>
      <c r="G4" s="61"/>
      <c r="H4" s="61" t="s">
        <v>228</v>
      </c>
      <c r="I4" s="61"/>
      <c r="J4" s="64" t="s">
        <v>858</v>
      </c>
      <c r="K4" s="64" t="s">
        <v>1220</v>
      </c>
      <c r="L4" s="61"/>
      <c r="M4" s="61"/>
      <c r="N4" s="61"/>
      <c r="O4" s="69"/>
    </row>
    <row r="5" spans="1:15" ht="15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9"/>
    </row>
    <row r="6" spans="1:15" ht="15" customHeight="1">
      <c r="A6" s="62" t="s">
        <v>109</v>
      </c>
      <c r="B6" s="61"/>
      <c r="C6" s="64" t="s">
        <v>515</v>
      </c>
      <c r="D6" s="61"/>
      <c r="E6" s="61"/>
      <c r="F6" s="61" t="s">
        <v>389</v>
      </c>
      <c r="G6" s="61"/>
      <c r="H6" s="61" t="s">
        <v>714</v>
      </c>
      <c r="I6" s="61"/>
      <c r="J6" s="64" t="s">
        <v>1077</v>
      </c>
      <c r="K6" s="61" t="s">
        <v>559</v>
      </c>
      <c r="L6" s="61"/>
      <c r="M6" s="61"/>
      <c r="N6" s="61"/>
      <c r="O6" s="69"/>
    </row>
    <row r="7" spans="1:15" ht="1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9"/>
    </row>
    <row r="8" spans="1:15" ht="15" customHeight="1">
      <c r="A8" s="62" t="s">
        <v>592</v>
      </c>
      <c r="B8" s="61"/>
      <c r="C8" s="64" t="s">
        <v>1148</v>
      </c>
      <c r="D8" s="61"/>
      <c r="E8" s="61"/>
      <c r="F8" s="61" t="s">
        <v>691</v>
      </c>
      <c r="G8" s="61"/>
      <c r="H8" s="61" t="s">
        <v>1311</v>
      </c>
      <c r="I8" s="61"/>
      <c r="J8" s="64" t="s">
        <v>826</v>
      </c>
      <c r="K8" s="61" t="s">
        <v>559</v>
      </c>
      <c r="L8" s="61"/>
      <c r="M8" s="61"/>
      <c r="N8" s="61"/>
      <c r="O8" s="69"/>
    </row>
    <row r="9" spans="1:15" ht="15" customHeight="1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70"/>
      <c r="O9" s="69"/>
    </row>
    <row r="10" spans="1:64" ht="15" customHeight="1">
      <c r="A10" s="50" t="s">
        <v>96</v>
      </c>
      <c r="B10" s="3" t="s">
        <v>924</v>
      </c>
      <c r="C10" s="3" t="s">
        <v>395</v>
      </c>
      <c r="D10" s="29" t="s">
        <v>1338</v>
      </c>
      <c r="E10" s="29"/>
      <c r="F10" s="29"/>
      <c r="G10" s="3"/>
      <c r="H10" s="3" t="s">
        <v>421</v>
      </c>
      <c r="I10" s="49" t="s">
        <v>744</v>
      </c>
      <c r="J10" s="5" t="s">
        <v>388</v>
      </c>
      <c r="K10" s="52" t="s">
        <v>794</v>
      </c>
      <c r="L10" s="8"/>
      <c r="M10" s="46"/>
      <c r="N10" s="6" t="s">
        <v>187</v>
      </c>
      <c r="O10" s="12" t="s">
        <v>326</v>
      </c>
      <c r="BK10" s="21" t="s">
        <v>480</v>
      </c>
      <c r="BL10" s="54" t="s">
        <v>640</v>
      </c>
    </row>
    <row r="11" spans="1:62" ht="15" customHeight="1">
      <c r="A11" s="14" t="s">
        <v>1148</v>
      </c>
      <c r="B11" s="53" t="s">
        <v>1148</v>
      </c>
      <c r="C11" s="53" t="s">
        <v>1148</v>
      </c>
      <c r="D11" s="71" t="s">
        <v>1237</v>
      </c>
      <c r="E11" s="71"/>
      <c r="F11" s="71"/>
      <c r="G11" s="72"/>
      <c r="H11" s="53" t="s">
        <v>1148</v>
      </c>
      <c r="I11" s="53" t="s">
        <v>1148</v>
      </c>
      <c r="J11" s="45" t="s">
        <v>1180</v>
      </c>
      <c r="K11" s="37" t="s">
        <v>65</v>
      </c>
      <c r="L11" s="25" t="s">
        <v>224</v>
      </c>
      <c r="M11" s="23" t="s">
        <v>124</v>
      </c>
      <c r="N11" s="22" t="s">
        <v>398</v>
      </c>
      <c r="O11" s="37" t="s">
        <v>311</v>
      </c>
      <c r="Z11" s="21" t="s">
        <v>978</v>
      </c>
      <c r="AA11" s="21" t="s">
        <v>764</v>
      </c>
      <c r="AB11" s="21" t="s">
        <v>1270</v>
      </c>
      <c r="AC11" s="21" t="s">
        <v>345</v>
      </c>
      <c r="AD11" s="21" t="s">
        <v>1053</v>
      </c>
      <c r="AE11" s="21" t="s">
        <v>447</v>
      </c>
      <c r="AF11" s="21" t="s">
        <v>1112</v>
      </c>
      <c r="AG11" s="21" t="s">
        <v>520</v>
      </c>
      <c r="AH11" s="21" t="s">
        <v>317</v>
      </c>
      <c r="BH11" s="21" t="s">
        <v>979</v>
      </c>
      <c r="BI11" s="21" t="s">
        <v>1248</v>
      </c>
      <c r="BJ11" s="21" t="s">
        <v>1352</v>
      </c>
    </row>
    <row r="12" spans="1:15" ht="15" customHeight="1">
      <c r="A12" s="33" t="s">
        <v>862</v>
      </c>
      <c r="B12" s="44" t="s">
        <v>1274</v>
      </c>
      <c r="C12" s="44" t="s">
        <v>862</v>
      </c>
      <c r="D12" s="73" t="s">
        <v>1034</v>
      </c>
      <c r="E12" s="73"/>
      <c r="F12" s="73"/>
      <c r="G12" s="73"/>
      <c r="H12" s="28" t="s">
        <v>1148</v>
      </c>
      <c r="I12" s="28" t="s">
        <v>1148</v>
      </c>
      <c r="J12" s="28" t="s">
        <v>1148</v>
      </c>
      <c r="K12" s="43">
        <f>K13+K15+K17+K20+K23+K30+K34+K42+K50+K52+K54+K59</f>
        <v>0</v>
      </c>
      <c r="L12" s="43">
        <f>L13+L15+L17+L20+L23+L30+L34+L42+L50+L52+L54+L59</f>
        <v>0</v>
      </c>
      <c r="M12" s="43">
        <f>M13+M15+M17+M20+M23+M30+M34+M42+M50+M52+M54+M59</f>
        <v>0</v>
      </c>
      <c r="N12" s="20" t="s">
        <v>862</v>
      </c>
      <c r="O12" s="35" t="s">
        <v>862</v>
      </c>
    </row>
    <row r="13" spans="1:47" ht="15" customHeight="1">
      <c r="A13" s="30" t="s">
        <v>862</v>
      </c>
      <c r="B13" s="18" t="s">
        <v>1274</v>
      </c>
      <c r="C13" s="18" t="s">
        <v>356</v>
      </c>
      <c r="D13" s="73" t="s">
        <v>11</v>
      </c>
      <c r="E13" s="73"/>
      <c r="F13" s="73"/>
      <c r="G13" s="73"/>
      <c r="H13" s="15" t="s">
        <v>1148</v>
      </c>
      <c r="I13" s="15" t="s">
        <v>1148</v>
      </c>
      <c r="J13" s="15" t="s">
        <v>1148</v>
      </c>
      <c r="K13" s="56">
        <f>SUM(K14:K14)</f>
        <v>0</v>
      </c>
      <c r="L13" s="56">
        <f>SUM(L14:L14)</f>
        <v>0</v>
      </c>
      <c r="M13" s="56">
        <f>SUM(M14:M14)</f>
        <v>0</v>
      </c>
      <c r="N13" s="21" t="s">
        <v>862</v>
      </c>
      <c r="O13" s="47" t="s">
        <v>862</v>
      </c>
      <c r="AI13" s="21" t="s">
        <v>1274</v>
      </c>
      <c r="AS13" s="56">
        <f>SUM(AJ14:AJ14)</f>
        <v>0</v>
      </c>
      <c r="AT13" s="56">
        <f>SUM(AK14:AK14)</f>
        <v>0</v>
      </c>
      <c r="AU13" s="56">
        <f>SUM(AL14:AL14)</f>
        <v>0</v>
      </c>
    </row>
    <row r="14" spans="1:64" ht="15" customHeight="1">
      <c r="A14" s="11" t="s">
        <v>1231</v>
      </c>
      <c r="B14" s="48" t="s">
        <v>1274</v>
      </c>
      <c r="C14" s="48" t="s">
        <v>957</v>
      </c>
      <c r="D14" s="61" t="s">
        <v>446</v>
      </c>
      <c r="E14" s="61"/>
      <c r="F14" s="61"/>
      <c r="G14" s="61"/>
      <c r="H14" s="48" t="s">
        <v>1195</v>
      </c>
      <c r="I14" s="13">
        <v>105</v>
      </c>
      <c r="J14" s="13">
        <v>0</v>
      </c>
      <c r="K14" s="13">
        <f>I14*AO14</f>
        <v>0</v>
      </c>
      <c r="L14" s="13">
        <f>I14*AP14</f>
        <v>0</v>
      </c>
      <c r="M14" s="13">
        <f>I14*J14</f>
        <v>0</v>
      </c>
      <c r="N14" s="13">
        <v>0</v>
      </c>
      <c r="O14" s="10" t="s">
        <v>851</v>
      </c>
      <c r="Z14" s="13">
        <f>IF(AQ14="5",BJ14,0)</f>
        <v>0</v>
      </c>
      <c r="AB14" s="13">
        <f>IF(AQ14="1",BH14,0)</f>
        <v>0</v>
      </c>
      <c r="AC14" s="13">
        <f>IF(AQ14="1",BI14,0)</f>
        <v>0</v>
      </c>
      <c r="AD14" s="13">
        <f>IF(AQ14="7",BH14,0)</f>
        <v>0</v>
      </c>
      <c r="AE14" s="13">
        <f>IF(AQ14="7",BI14,0)</f>
        <v>0</v>
      </c>
      <c r="AF14" s="13">
        <f>IF(AQ14="2",BH14,0)</f>
        <v>0</v>
      </c>
      <c r="AG14" s="13">
        <f>IF(AQ14="2",BI14,0)</f>
        <v>0</v>
      </c>
      <c r="AH14" s="13">
        <f>IF(AQ14="0",BJ14,0)</f>
        <v>0</v>
      </c>
      <c r="AI14" s="21" t="s">
        <v>1274</v>
      </c>
      <c r="AJ14" s="13">
        <f>IF(AN14=0,M14,0)</f>
        <v>0</v>
      </c>
      <c r="AK14" s="13">
        <f>IF(AN14=15,M14,0)</f>
        <v>0</v>
      </c>
      <c r="AL14" s="13">
        <f>IF(AN14=21,M14,0)</f>
        <v>0</v>
      </c>
      <c r="AN14" s="13">
        <v>21</v>
      </c>
      <c r="AO14" s="13">
        <f>J14*0</f>
        <v>0</v>
      </c>
      <c r="AP14" s="13">
        <f>J14*(1-0)</f>
        <v>0</v>
      </c>
      <c r="AQ14" s="32" t="s">
        <v>1231</v>
      </c>
      <c r="AV14" s="13">
        <f>AW14+AX14</f>
        <v>0</v>
      </c>
      <c r="AW14" s="13">
        <f>I14*AO14</f>
        <v>0</v>
      </c>
      <c r="AX14" s="13">
        <f>I14*AP14</f>
        <v>0</v>
      </c>
      <c r="AY14" s="32" t="s">
        <v>1116</v>
      </c>
      <c r="AZ14" s="32" t="s">
        <v>1343</v>
      </c>
      <c r="BA14" s="21" t="s">
        <v>683</v>
      </c>
      <c r="BC14" s="13">
        <f>AW14+AX14</f>
        <v>0</v>
      </c>
      <c r="BD14" s="13">
        <f>J14/(100-BE14)*100</f>
        <v>0</v>
      </c>
      <c r="BE14" s="13">
        <v>0</v>
      </c>
      <c r="BF14" s="13">
        <f>14</f>
        <v>14</v>
      </c>
      <c r="BH14" s="13">
        <f>I14*AO14</f>
        <v>0</v>
      </c>
      <c r="BI14" s="13">
        <f>I14*AP14</f>
        <v>0</v>
      </c>
      <c r="BJ14" s="13">
        <f>I14*J14</f>
        <v>0</v>
      </c>
      <c r="BK14" s="13"/>
      <c r="BL14" s="13">
        <v>13</v>
      </c>
    </row>
    <row r="15" spans="1:47" ht="15" customHeight="1">
      <c r="A15" s="30" t="s">
        <v>862</v>
      </c>
      <c r="B15" s="18" t="s">
        <v>1274</v>
      </c>
      <c r="C15" s="18" t="s">
        <v>113</v>
      </c>
      <c r="D15" s="73" t="s">
        <v>1028</v>
      </c>
      <c r="E15" s="73"/>
      <c r="F15" s="73"/>
      <c r="G15" s="73"/>
      <c r="H15" s="15" t="s">
        <v>1148</v>
      </c>
      <c r="I15" s="15" t="s">
        <v>1148</v>
      </c>
      <c r="J15" s="15" t="s">
        <v>1148</v>
      </c>
      <c r="K15" s="56">
        <f>SUM(K16:K16)</f>
        <v>0</v>
      </c>
      <c r="L15" s="56">
        <f>SUM(L16:L16)</f>
        <v>0</v>
      </c>
      <c r="M15" s="56">
        <f>SUM(M16:M16)</f>
        <v>0</v>
      </c>
      <c r="N15" s="21" t="s">
        <v>862</v>
      </c>
      <c r="O15" s="47" t="s">
        <v>862</v>
      </c>
      <c r="AI15" s="21" t="s">
        <v>1274</v>
      </c>
      <c r="AS15" s="56">
        <f>SUM(AJ16:AJ16)</f>
        <v>0</v>
      </c>
      <c r="AT15" s="56">
        <f>SUM(AK16:AK16)</f>
        <v>0</v>
      </c>
      <c r="AU15" s="56">
        <f>SUM(AL16:AL16)</f>
        <v>0</v>
      </c>
    </row>
    <row r="16" spans="1:64" ht="15" customHeight="1">
      <c r="A16" s="11" t="s">
        <v>857</v>
      </c>
      <c r="B16" s="48" t="s">
        <v>1274</v>
      </c>
      <c r="C16" s="48" t="s">
        <v>269</v>
      </c>
      <c r="D16" s="61" t="s">
        <v>1387</v>
      </c>
      <c r="E16" s="61"/>
      <c r="F16" s="61"/>
      <c r="G16" s="61"/>
      <c r="H16" s="48" t="s">
        <v>1195</v>
      </c>
      <c r="I16" s="13">
        <v>145</v>
      </c>
      <c r="J16" s="13">
        <v>0</v>
      </c>
      <c r="K16" s="13">
        <f>I16*AO16</f>
        <v>0</v>
      </c>
      <c r="L16" s="13">
        <f>I16*AP16</f>
        <v>0</v>
      </c>
      <c r="M16" s="13">
        <f>I16*J16</f>
        <v>0</v>
      </c>
      <c r="N16" s="13">
        <v>0</v>
      </c>
      <c r="O16" s="10" t="s">
        <v>851</v>
      </c>
      <c r="Z16" s="13">
        <f>IF(AQ16="5",BJ16,0)</f>
        <v>0</v>
      </c>
      <c r="AB16" s="13">
        <f>IF(AQ16="1",BH16,0)</f>
        <v>0</v>
      </c>
      <c r="AC16" s="13">
        <f>IF(AQ16="1",BI16,0)</f>
        <v>0</v>
      </c>
      <c r="AD16" s="13">
        <f>IF(AQ16="7",BH16,0)</f>
        <v>0</v>
      </c>
      <c r="AE16" s="13">
        <f>IF(AQ16="7",BI16,0)</f>
        <v>0</v>
      </c>
      <c r="AF16" s="13">
        <f>IF(AQ16="2",BH16,0)</f>
        <v>0</v>
      </c>
      <c r="AG16" s="13">
        <f>IF(AQ16="2",BI16,0)</f>
        <v>0</v>
      </c>
      <c r="AH16" s="13">
        <f>IF(AQ16="0",BJ16,0)</f>
        <v>0</v>
      </c>
      <c r="AI16" s="21" t="s">
        <v>1274</v>
      </c>
      <c r="AJ16" s="13">
        <f>IF(AN16=0,M16,0)</f>
        <v>0</v>
      </c>
      <c r="AK16" s="13">
        <f>IF(AN16=15,M16,0)</f>
        <v>0</v>
      </c>
      <c r="AL16" s="13">
        <f>IF(AN16=21,M16,0)</f>
        <v>0</v>
      </c>
      <c r="AN16" s="13">
        <v>21</v>
      </c>
      <c r="AO16" s="13">
        <f>J16*0</f>
        <v>0</v>
      </c>
      <c r="AP16" s="13">
        <f>J16*(1-0)</f>
        <v>0</v>
      </c>
      <c r="AQ16" s="32" t="s">
        <v>1231</v>
      </c>
      <c r="AV16" s="13">
        <f>AW16+AX16</f>
        <v>0</v>
      </c>
      <c r="AW16" s="13">
        <f>I16*AO16</f>
        <v>0</v>
      </c>
      <c r="AX16" s="13">
        <f>I16*AP16</f>
        <v>0</v>
      </c>
      <c r="AY16" s="32" t="s">
        <v>1151</v>
      </c>
      <c r="AZ16" s="32" t="s">
        <v>1343</v>
      </c>
      <c r="BA16" s="21" t="s">
        <v>683</v>
      </c>
      <c r="BC16" s="13">
        <f>AW16+AX16</f>
        <v>0</v>
      </c>
      <c r="BD16" s="13">
        <f>J16/(100-BE16)*100</f>
        <v>0</v>
      </c>
      <c r="BE16" s="13">
        <v>0</v>
      </c>
      <c r="BF16" s="13">
        <f>16</f>
        <v>16</v>
      </c>
      <c r="BH16" s="13">
        <f>I16*AO16</f>
        <v>0</v>
      </c>
      <c r="BI16" s="13">
        <f>I16*AP16</f>
        <v>0</v>
      </c>
      <c r="BJ16" s="13">
        <f>I16*J16</f>
        <v>0</v>
      </c>
      <c r="BK16" s="13"/>
      <c r="BL16" s="13">
        <v>16</v>
      </c>
    </row>
    <row r="17" spans="1:47" ht="15" customHeight="1">
      <c r="A17" s="30" t="s">
        <v>862</v>
      </c>
      <c r="B17" s="18" t="s">
        <v>1274</v>
      </c>
      <c r="C17" s="18" t="s">
        <v>868</v>
      </c>
      <c r="D17" s="73" t="s">
        <v>167</v>
      </c>
      <c r="E17" s="73"/>
      <c r="F17" s="73"/>
      <c r="G17" s="73"/>
      <c r="H17" s="15" t="s">
        <v>1148</v>
      </c>
      <c r="I17" s="15" t="s">
        <v>1148</v>
      </c>
      <c r="J17" s="15" t="s">
        <v>1148</v>
      </c>
      <c r="K17" s="56">
        <f>SUM(K18:K19)</f>
        <v>0</v>
      </c>
      <c r="L17" s="56">
        <f>SUM(L18:L19)</f>
        <v>0</v>
      </c>
      <c r="M17" s="56">
        <f>SUM(M18:M19)</f>
        <v>0</v>
      </c>
      <c r="N17" s="21" t="s">
        <v>862</v>
      </c>
      <c r="O17" s="47" t="s">
        <v>862</v>
      </c>
      <c r="AI17" s="21" t="s">
        <v>1274</v>
      </c>
      <c r="AS17" s="56">
        <f>SUM(AJ18:AJ19)</f>
        <v>0</v>
      </c>
      <c r="AT17" s="56">
        <f>SUM(AK18:AK19)</f>
        <v>0</v>
      </c>
      <c r="AU17" s="56">
        <f>SUM(AL18:AL19)</f>
        <v>0</v>
      </c>
    </row>
    <row r="18" spans="1:64" ht="15" customHeight="1">
      <c r="A18" s="11" t="s">
        <v>1062</v>
      </c>
      <c r="B18" s="48" t="s">
        <v>1274</v>
      </c>
      <c r="C18" s="48" t="s">
        <v>911</v>
      </c>
      <c r="D18" s="61" t="s">
        <v>638</v>
      </c>
      <c r="E18" s="61"/>
      <c r="F18" s="61"/>
      <c r="G18" s="61"/>
      <c r="H18" s="48" t="s">
        <v>1195</v>
      </c>
      <c r="I18" s="13">
        <v>105</v>
      </c>
      <c r="J18" s="13">
        <v>0</v>
      </c>
      <c r="K18" s="13">
        <f>I18*AO18</f>
        <v>0</v>
      </c>
      <c r="L18" s="13">
        <f>I18*AP18</f>
        <v>0</v>
      </c>
      <c r="M18" s="13">
        <f>I18*J18</f>
        <v>0</v>
      </c>
      <c r="N18" s="13">
        <v>0</v>
      </c>
      <c r="O18" s="10" t="s">
        <v>851</v>
      </c>
      <c r="Z18" s="13">
        <f>IF(AQ18="5",BJ18,0)</f>
        <v>0</v>
      </c>
      <c r="AB18" s="13">
        <f>IF(AQ18="1",BH18,0)</f>
        <v>0</v>
      </c>
      <c r="AC18" s="13">
        <f>IF(AQ18="1",BI18,0)</f>
        <v>0</v>
      </c>
      <c r="AD18" s="13">
        <f>IF(AQ18="7",BH18,0)</f>
        <v>0</v>
      </c>
      <c r="AE18" s="13">
        <f>IF(AQ18="7",BI18,0)</f>
        <v>0</v>
      </c>
      <c r="AF18" s="13">
        <f>IF(AQ18="2",BH18,0)</f>
        <v>0</v>
      </c>
      <c r="AG18" s="13">
        <f>IF(AQ18="2",BI18,0)</f>
        <v>0</v>
      </c>
      <c r="AH18" s="13">
        <f>IF(AQ18="0",BJ18,0)</f>
        <v>0</v>
      </c>
      <c r="AI18" s="21" t="s">
        <v>1274</v>
      </c>
      <c r="AJ18" s="13">
        <f>IF(AN18=0,M18,0)</f>
        <v>0</v>
      </c>
      <c r="AK18" s="13">
        <f>IF(AN18=15,M18,0)</f>
        <v>0</v>
      </c>
      <c r="AL18" s="13">
        <f>IF(AN18=21,M18,0)</f>
        <v>0</v>
      </c>
      <c r="AN18" s="13">
        <v>21</v>
      </c>
      <c r="AO18" s="13">
        <f>J18*0</f>
        <v>0</v>
      </c>
      <c r="AP18" s="13">
        <f>J18*(1-0)</f>
        <v>0</v>
      </c>
      <c r="AQ18" s="32" t="s">
        <v>1231</v>
      </c>
      <c r="AV18" s="13">
        <f>AW18+AX18</f>
        <v>0</v>
      </c>
      <c r="AW18" s="13">
        <f>I18*AO18</f>
        <v>0</v>
      </c>
      <c r="AX18" s="13">
        <f>I18*AP18</f>
        <v>0</v>
      </c>
      <c r="AY18" s="32" t="s">
        <v>238</v>
      </c>
      <c r="AZ18" s="32" t="s">
        <v>1343</v>
      </c>
      <c r="BA18" s="21" t="s">
        <v>683</v>
      </c>
      <c r="BC18" s="13">
        <f>AW18+AX18</f>
        <v>0</v>
      </c>
      <c r="BD18" s="13">
        <f>J18/(100-BE18)*100</f>
        <v>0</v>
      </c>
      <c r="BE18" s="13">
        <v>0</v>
      </c>
      <c r="BF18" s="13">
        <f>18</f>
        <v>18</v>
      </c>
      <c r="BH18" s="13">
        <f>I18*AO18</f>
        <v>0</v>
      </c>
      <c r="BI18" s="13">
        <f>I18*AP18</f>
        <v>0</v>
      </c>
      <c r="BJ18" s="13">
        <f>I18*J18</f>
        <v>0</v>
      </c>
      <c r="BK18" s="13"/>
      <c r="BL18" s="13">
        <v>17</v>
      </c>
    </row>
    <row r="19" spans="1:64" ht="15" customHeight="1">
      <c r="A19" s="11" t="s">
        <v>142</v>
      </c>
      <c r="B19" s="48" t="s">
        <v>1274</v>
      </c>
      <c r="C19" s="48" t="s">
        <v>1372</v>
      </c>
      <c r="D19" s="61" t="s">
        <v>495</v>
      </c>
      <c r="E19" s="61"/>
      <c r="F19" s="61"/>
      <c r="G19" s="61"/>
      <c r="H19" s="48" t="s">
        <v>1195</v>
      </c>
      <c r="I19" s="13">
        <v>40</v>
      </c>
      <c r="J19" s="13">
        <v>0</v>
      </c>
      <c r="K19" s="13">
        <f>I19*AO19</f>
        <v>0</v>
      </c>
      <c r="L19" s="13">
        <f>I19*AP19</f>
        <v>0</v>
      </c>
      <c r="M19" s="13">
        <f>I19*J19</f>
        <v>0</v>
      </c>
      <c r="N19" s="13">
        <v>1.67</v>
      </c>
      <c r="O19" s="10" t="s">
        <v>851</v>
      </c>
      <c r="Z19" s="13">
        <f>IF(AQ19="5",BJ19,0)</f>
        <v>0</v>
      </c>
      <c r="AB19" s="13">
        <f>IF(AQ19="1",BH19,0)</f>
        <v>0</v>
      </c>
      <c r="AC19" s="13">
        <f>IF(AQ19="1",BI19,0)</f>
        <v>0</v>
      </c>
      <c r="AD19" s="13">
        <f>IF(AQ19="7",BH19,0)</f>
        <v>0</v>
      </c>
      <c r="AE19" s="13">
        <f>IF(AQ19="7",BI19,0)</f>
        <v>0</v>
      </c>
      <c r="AF19" s="13">
        <f>IF(AQ19="2",BH19,0)</f>
        <v>0</v>
      </c>
      <c r="AG19" s="13">
        <f>IF(AQ19="2",BI19,0)</f>
        <v>0</v>
      </c>
      <c r="AH19" s="13">
        <f>IF(AQ19="0",BJ19,0)</f>
        <v>0</v>
      </c>
      <c r="AI19" s="21" t="s">
        <v>1274</v>
      </c>
      <c r="AJ19" s="13">
        <f>IF(AN19=0,M19,0)</f>
        <v>0</v>
      </c>
      <c r="AK19" s="13">
        <f>IF(AN19=15,M19,0)</f>
        <v>0</v>
      </c>
      <c r="AL19" s="13">
        <f>IF(AN19=21,M19,0)</f>
        <v>0</v>
      </c>
      <c r="AN19" s="13">
        <v>21</v>
      </c>
      <c r="AO19" s="13">
        <f>J19*0.62566560170394</f>
        <v>0</v>
      </c>
      <c r="AP19" s="13">
        <f>J19*(1-0.62566560170394)</f>
        <v>0</v>
      </c>
      <c r="AQ19" s="32" t="s">
        <v>1231</v>
      </c>
      <c r="AV19" s="13">
        <f>AW19+AX19</f>
        <v>0</v>
      </c>
      <c r="AW19" s="13">
        <f>I19*AO19</f>
        <v>0</v>
      </c>
      <c r="AX19" s="13">
        <f>I19*AP19</f>
        <v>0</v>
      </c>
      <c r="AY19" s="32" t="s">
        <v>238</v>
      </c>
      <c r="AZ19" s="32" t="s">
        <v>1343</v>
      </c>
      <c r="BA19" s="21" t="s">
        <v>683</v>
      </c>
      <c r="BC19" s="13">
        <f>AW19+AX19</f>
        <v>0</v>
      </c>
      <c r="BD19" s="13">
        <f>J19/(100-BE19)*100</f>
        <v>0</v>
      </c>
      <c r="BE19" s="13">
        <v>0</v>
      </c>
      <c r="BF19" s="13">
        <f>19</f>
        <v>19</v>
      </c>
      <c r="BH19" s="13">
        <f>I19*AO19</f>
        <v>0</v>
      </c>
      <c r="BI19" s="13">
        <f>I19*AP19</f>
        <v>0</v>
      </c>
      <c r="BJ19" s="13">
        <f>I19*J19</f>
        <v>0</v>
      </c>
      <c r="BK19" s="13"/>
      <c r="BL19" s="13">
        <v>17</v>
      </c>
    </row>
    <row r="20" spans="1:47" ht="15" customHeight="1">
      <c r="A20" s="30" t="s">
        <v>862</v>
      </c>
      <c r="B20" s="18" t="s">
        <v>1274</v>
      </c>
      <c r="C20" s="18" t="s">
        <v>912</v>
      </c>
      <c r="D20" s="73" t="s">
        <v>132</v>
      </c>
      <c r="E20" s="73"/>
      <c r="F20" s="73"/>
      <c r="G20" s="73"/>
      <c r="H20" s="15" t="s">
        <v>1148</v>
      </c>
      <c r="I20" s="15" t="s">
        <v>1148</v>
      </c>
      <c r="J20" s="15" t="s">
        <v>1148</v>
      </c>
      <c r="K20" s="56">
        <f>SUM(K21:K22)</f>
        <v>0</v>
      </c>
      <c r="L20" s="56">
        <f>SUM(L21:L22)</f>
        <v>0</v>
      </c>
      <c r="M20" s="56">
        <f>SUM(M21:M22)</f>
        <v>0</v>
      </c>
      <c r="N20" s="21" t="s">
        <v>862</v>
      </c>
      <c r="O20" s="47" t="s">
        <v>862</v>
      </c>
      <c r="AI20" s="21" t="s">
        <v>1274</v>
      </c>
      <c r="AS20" s="56">
        <f>SUM(AJ21:AJ22)</f>
        <v>0</v>
      </c>
      <c r="AT20" s="56">
        <f>SUM(AK21:AK22)</f>
        <v>0</v>
      </c>
      <c r="AU20" s="56">
        <f>SUM(AL21:AL22)</f>
        <v>0</v>
      </c>
    </row>
    <row r="21" spans="1:64" ht="15" customHeight="1">
      <c r="A21" s="11" t="s">
        <v>654</v>
      </c>
      <c r="B21" s="48" t="s">
        <v>1274</v>
      </c>
      <c r="C21" s="48" t="s">
        <v>438</v>
      </c>
      <c r="D21" s="61" t="s">
        <v>949</v>
      </c>
      <c r="E21" s="61"/>
      <c r="F21" s="61"/>
      <c r="G21" s="61"/>
      <c r="H21" s="48" t="s">
        <v>553</v>
      </c>
      <c r="I21" s="13">
        <v>0.895</v>
      </c>
      <c r="J21" s="13">
        <v>0</v>
      </c>
      <c r="K21" s="13">
        <f>I21*AO21</f>
        <v>0</v>
      </c>
      <c r="L21" s="13">
        <f>I21*AP21</f>
        <v>0</v>
      </c>
      <c r="M21" s="13">
        <f>I21*J21</f>
        <v>0</v>
      </c>
      <c r="N21" s="13">
        <v>0</v>
      </c>
      <c r="O21" s="10" t="s">
        <v>851</v>
      </c>
      <c r="Z21" s="13">
        <f>IF(AQ21="5",BJ21,0)</f>
        <v>0</v>
      </c>
      <c r="AB21" s="13">
        <f>IF(AQ21="1",BH21,0)</f>
        <v>0</v>
      </c>
      <c r="AC21" s="13">
        <f>IF(AQ21="1",BI21,0)</f>
        <v>0</v>
      </c>
      <c r="AD21" s="13">
        <f>IF(AQ21="7",BH21,0)</f>
        <v>0</v>
      </c>
      <c r="AE21" s="13">
        <f>IF(AQ21="7",BI21,0)</f>
        <v>0</v>
      </c>
      <c r="AF21" s="13">
        <f>IF(AQ21="2",BH21,0)</f>
        <v>0</v>
      </c>
      <c r="AG21" s="13">
        <f>IF(AQ21="2",BI21,0)</f>
        <v>0</v>
      </c>
      <c r="AH21" s="13">
        <f>IF(AQ21="0",BJ21,0)</f>
        <v>0</v>
      </c>
      <c r="AI21" s="21" t="s">
        <v>1274</v>
      </c>
      <c r="AJ21" s="13">
        <f>IF(AN21=0,M21,0)</f>
        <v>0</v>
      </c>
      <c r="AK21" s="13">
        <f>IF(AN21=15,M21,0)</f>
        <v>0</v>
      </c>
      <c r="AL21" s="13">
        <f>IF(AN21=21,M21,0)</f>
        <v>0</v>
      </c>
      <c r="AN21" s="13">
        <v>21</v>
      </c>
      <c r="AO21" s="13">
        <f>J21*0</f>
        <v>0</v>
      </c>
      <c r="AP21" s="13">
        <f>J21*(1-0)</f>
        <v>0</v>
      </c>
      <c r="AQ21" s="32" t="s">
        <v>654</v>
      </c>
      <c r="AV21" s="13">
        <f>AW21+AX21</f>
        <v>0</v>
      </c>
      <c r="AW21" s="13">
        <f>I21*AO21</f>
        <v>0</v>
      </c>
      <c r="AX21" s="13">
        <f>I21*AP21</f>
        <v>0</v>
      </c>
      <c r="AY21" s="32" t="s">
        <v>210</v>
      </c>
      <c r="AZ21" s="32" t="s">
        <v>261</v>
      </c>
      <c r="BA21" s="21" t="s">
        <v>683</v>
      </c>
      <c r="BC21" s="13">
        <f>AW21+AX21</f>
        <v>0</v>
      </c>
      <c r="BD21" s="13">
        <f>J21/(100-BE21)*100</f>
        <v>0</v>
      </c>
      <c r="BE21" s="13">
        <v>0</v>
      </c>
      <c r="BF21" s="13">
        <f>21</f>
        <v>21</v>
      </c>
      <c r="BH21" s="13">
        <f>I21*AO21</f>
        <v>0</v>
      </c>
      <c r="BI21" s="13">
        <f>I21*AP21</f>
        <v>0</v>
      </c>
      <c r="BJ21" s="13">
        <f>I21*J21</f>
        <v>0</v>
      </c>
      <c r="BK21" s="13"/>
      <c r="BL21" s="13"/>
    </row>
    <row r="22" spans="1:64" ht="15" customHeight="1">
      <c r="A22" s="11" t="s">
        <v>199</v>
      </c>
      <c r="B22" s="48" t="s">
        <v>1274</v>
      </c>
      <c r="C22" s="48" t="s">
        <v>1020</v>
      </c>
      <c r="D22" s="61" t="s">
        <v>69</v>
      </c>
      <c r="E22" s="61"/>
      <c r="F22" s="61"/>
      <c r="G22" s="61"/>
      <c r="H22" s="48" t="s">
        <v>553</v>
      </c>
      <c r="I22" s="13">
        <v>147.9119</v>
      </c>
      <c r="J22" s="13">
        <v>0</v>
      </c>
      <c r="K22" s="13">
        <f>I22*AO22</f>
        <v>0</v>
      </c>
      <c r="L22" s="13">
        <f>I22*AP22</f>
        <v>0</v>
      </c>
      <c r="M22" s="13">
        <f>I22*J22</f>
        <v>0</v>
      </c>
      <c r="N22" s="13">
        <v>0</v>
      </c>
      <c r="O22" s="10" t="s">
        <v>851</v>
      </c>
      <c r="Z22" s="13">
        <f>IF(AQ22="5",BJ22,0)</f>
        <v>0</v>
      </c>
      <c r="AB22" s="13">
        <f>IF(AQ22="1",BH22,0)</f>
        <v>0</v>
      </c>
      <c r="AC22" s="13">
        <f>IF(AQ22="1",BI22,0)</f>
        <v>0</v>
      </c>
      <c r="AD22" s="13">
        <f>IF(AQ22="7",BH22,0)</f>
        <v>0</v>
      </c>
      <c r="AE22" s="13">
        <f>IF(AQ22="7",BI22,0)</f>
        <v>0</v>
      </c>
      <c r="AF22" s="13">
        <f>IF(AQ22="2",BH22,0)</f>
        <v>0</v>
      </c>
      <c r="AG22" s="13">
        <f>IF(AQ22="2",BI22,0)</f>
        <v>0</v>
      </c>
      <c r="AH22" s="13">
        <f>IF(AQ22="0",BJ22,0)</f>
        <v>0</v>
      </c>
      <c r="AI22" s="21" t="s">
        <v>1274</v>
      </c>
      <c r="AJ22" s="13">
        <f>IF(AN22=0,M22,0)</f>
        <v>0</v>
      </c>
      <c r="AK22" s="13">
        <f>IF(AN22=15,M22,0)</f>
        <v>0</v>
      </c>
      <c r="AL22" s="13">
        <f>IF(AN22=21,M22,0)</f>
        <v>0</v>
      </c>
      <c r="AN22" s="13">
        <v>21</v>
      </c>
      <c r="AO22" s="13">
        <f>J22*0</f>
        <v>0</v>
      </c>
      <c r="AP22" s="13">
        <f>J22*(1-0)</f>
        <v>0</v>
      </c>
      <c r="AQ22" s="32" t="s">
        <v>654</v>
      </c>
      <c r="AV22" s="13">
        <f>AW22+AX22</f>
        <v>0</v>
      </c>
      <c r="AW22" s="13">
        <f>I22*AO22</f>
        <v>0</v>
      </c>
      <c r="AX22" s="13">
        <f>I22*AP22</f>
        <v>0</v>
      </c>
      <c r="AY22" s="32" t="s">
        <v>210</v>
      </c>
      <c r="AZ22" s="32" t="s">
        <v>261</v>
      </c>
      <c r="BA22" s="21" t="s">
        <v>683</v>
      </c>
      <c r="BC22" s="13">
        <f>AW22+AX22</f>
        <v>0</v>
      </c>
      <c r="BD22" s="13">
        <f>J22/(100-BE22)*100</f>
        <v>0</v>
      </c>
      <c r="BE22" s="13">
        <v>0</v>
      </c>
      <c r="BF22" s="13">
        <f>22</f>
        <v>22</v>
      </c>
      <c r="BH22" s="13">
        <f>I22*AO22</f>
        <v>0</v>
      </c>
      <c r="BI22" s="13">
        <f>I22*AP22</f>
        <v>0</v>
      </c>
      <c r="BJ22" s="13">
        <f>I22*J22</f>
        <v>0</v>
      </c>
      <c r="BK22" s="13"/>
      <c r="BL22" s="13"/>
    </row>
    <row r="23" spans="1:47" ht="15" customHeight="1">
      <c r="A23" s="30" t="s">
        <v>862</v>
      </c>
      <c r="B23" s="18" t="s">
        <v>1274</v>
      </c>
      <c r="C23" s="18" t="s">
        <v>183</v>
      </c>
      <c r="D23" s="73" t="s">
        <v>950</v>
      </c>
      <c r="E23" s="73"/>
      <c r="F23" s="73"/>
      <c r="G23" s="73"/>
      <c r="H23" s="15" t="s">
        <v>1148</v>
      </c>
      <c r="I23" s="15" t="s">
        <v>1148</v>
      </c>
      <c r="J23" s="15" t="s">
        <v>1148</v>
      </c>
      <c r="K23" s="56">
        <f>SUM(K24:K29)</f>
        <v>0</v>
      </c>
      <c r="L23" s="56">
        <f>SUM(L24:L29)</f>
        <v>0</v>
      </c>
      <c r="M23" s="56">
        <f>SUM(M24:M29)</f>
        <v>0</v>
      </c>
      <c r="N23" s="21" t="s">
        <v>862</v>
      </c>
      <c r="O23" s="47" t="s">
        <v>862</v>
      </c>
      <c r="AI23" s="21" t="s">
        <v>1274</v>
      </c>
      <c r="AS23" s="56">
        <f>SUM(AJ24:AJ29)</f>
        <v>0</v>
      </c>
      <c r="AT23" s="56">
        <f>SUM(AK24:AK29)</f>
        <v>0</v>
      </c>
      <c r="AU23" s="56">
        <f>SUM(AL24:AL29)</f>
        <v>0</v>
      </c>
    </row>
    <row r="24" spans="1:64" ht="15" customHeight="1">
      <c r="A24" s="11" t="s">
        <v>1233</v>
      </c>
      <c r="B24" s="48" t="s">
        <v>1274</v>
      </c>
      <c r="C24" s="48" t="s">
        <v>852</v>
      </c>
      <c r="D24" s="61" t="s">
        <v>685</v>
      </c>
      <c r="E24" s="61"/>
      <c r="F24" s="61"/>
      <c r="G24" s="61"/>
      <c r="H24" s="48" t="s">
        <v>1018</v>
      </c>
      <c r="I24" s="13">
        <v>180</v>
      </c>
      <c r="J24" s="13">
        <v>0</v>
      </c>
      <c r="K24" s="13">
        <f>I24*AO24</f>
        <v>0</v>
      </c>
      <c r="L24" s="13">
        <f>I24*AP24</f>
        <v>0</v>
      </c>
      <c r="M24" s="13">
        <f>I24*J24</f>
        <v>0</v>
      </c>
      <c r="N24" s="13">
        <v>0.0008</v>
      </c>
      <c r="O24" s="10" t="s">
        <v>851</v>
      </c>
      <c r="Z24" s="13">
        <f>IF(AQ24="5",BJ24,0)</f>
        <v>0</v>
      </c>
      <c r="AB24" s="13">
        <f>IF(AQ24="1",BH24,0)</f>
        <v>0</v>
      </c>
      <c r="AC24" s="13">
        <f>IF(AQ24="1",BI24,0)</f>
        <v>0</v>
      </c>
      <c r="AD24" s="13">
        <f>IF(AQ24="7",BH24,0)</f>
        <v>0</v>
      </c>
      <c r="AE24" s="13">
        <f>IF(AQ24="7",BI24,0)</f>
        <v>0</v>
      </c>
      <c r="AF24" s="13">
        <f>IF(AQ24="2",BH24,0)</f>
        <v>0</v>
      </c>
      <c r="AG24" s="13">
        <f>IF(AQ24="2",BI24,0)</f>
        <v>0</v>
      </c>
      <c r="AH24" s="13">
        <f>IF(AQ24="0",BJ24,0)</f>
        <v>0</v>
      </c>
      <c r="AI24" s="21" t="s">
        <v>1274</v>
      </c>
      <c r="AJ24" s="13">
        <f>IF(AN24=0,M24,0)</f>
        <v>0</v>
      </c>
      <c r="AK24" s="13">
        <f>IF(AN24=15,M24,0)</f>
        <v>0</v>
      </c>
      <c r="AL24" s="13">
        <f>IF(AN24=21,M24,0)</f>
        <v>0</v>
      </c>
      <c r="AN24" s="13">
        <v>21</v>
      </c>
      <c r="AO24" s="13">
        <f>J24*0.854415966212579</f>
        <v>0</v>
      </c>
      <c r="AP24" s="13">
        <f>J24*(1-0.854415966212579)</f>
        <v>0</v>
      </c>
      <c r="AQ24" s="32" t="s">
        <v>857</v>
      </c>
      <c r="AV24" s="13">
        <f>AW24+AX24</f>
        <v>0</v>
      </c>
      <c r="AW24" s="13">
        <f>I24*AO24</f>
        <v>0</v>
      </c>
      <c r="AX24" s="13">
        <f>I24*AP24</f>
        <v>0</v>
      </c>
      <c r="AY24" s="32" t="s">
        <v>1276</v>
      </c>
      <c r="AZ24" s="32" t="s">
        <v>261</v>
      </c>
      <c r="BA24" s="21" t="s">
        <v>683</v>
      </c>
      <c r="BC24" s="13">
        <f>AW24+AX24</f>
        <v>0</v>
      </c>
      <c r="BD24" s="13">
        <f>J24/(100-BE24)*100</f>
        <v>0</v>
      </c>
      <c r="BE24" s="13">
        <v>0</v>
      </c>
      <c r="BF24" s="13">
        <f>24</f>
        <v>24</v>
      </c>
      <c r="BH24" s="13">
        <f>I24*AO24</f>
        <v>0</v>
      </c>
      <c r="BI24" s="13">
        <f>I24*AP24</f>
        <v>0</v>
      </c>
      <c r="BJ24" s="13">
        <f>I24*J24</f>
        <v>0</v>
      </c>
      <c r="BK24" s="13"/>
      <c r="BL24" s="13"/>
    </row>
    <row r="25" spans="1:64" ht="15" customHeight="1">
      <c r="A25" s="11" t="s">
        <v>986</v>
      </c>
      <c r="B25" s="48" t="s">
        <v>1274</v>
      </c>
      <c r="C25" s="48" t="s">
        <v>899</v>
      </c>
      <c r="D25" s="61" t="s">
        <v>1015</v>
      </c>
      <c r="E25" s="61"/>
      <c r="F25" s="61"/>
      <c r="G25" s="61"/>
      <c r="H25" s="48" t="s">
        <v>299</v>
      </c>
      <c r="I25" s="13">
        <v>3</v>
      </c>
      <c r="J25" s="13">
        <v>0</v>
      </c>
      <c r="K25" s="13">
        <f>I25*AO25</f>
        <v>0</v>
      </c>
      <c r="L25" s="13">
        <f>I25*AP25</f>
        <v>0</v>
      </c>
      <c r="M25" s="13">
        <f>I25*J25</f>
        <v>0</v>
      </c>
      <c r="N25" s="13">
        <v>0</v>
      </c>
      <c r="O25" s="10" t="s">
        <v>851</v>
      </c>
      <c r="Z25" s="13">
        <f>IF(AQ25="5",BJ25,0)</f>
        <v>0</v>
      </c>
      <c r="AB25" s="13">
        <f>IF(AQ25="1",BH25,0)</f>
        <v>0</v>
      </c>
      <c r="AC25" s="13">
        <f>IF(AQ25="1",BI25,0)</f>
        <v>0</v>
      </c>
      <c r="AD25" s="13">
        <f>IF(AQ25="7",BH25,0)</f>
        <v>0</v>
      </c>
      <c r="AE25" s="13">
        <f>IF(AQ25="7",BI25,0)</f>
        <v>0</v>
      </c>
      <c r="AF25" s="13">
        <f>IF(AQ25="2",BH25,0)</f>
        <v>0</v>
      </c>
      <c r="AG25" s="13">
        <f>IF(AQ25="2",BI25,0)</f>
        <v>0</v>
      </c>
      <c r="AH25" s="13">
        <f>IF(AQ25="0",BJ25,0)</f>
        <v>0</v>
      </c>
      <c r="AI25" s="21" t="s">
        <v>1274</v>
      </c>
      <c r="AJ25" s="13">
        <f>IF(AN25=0,M25,0)</f>
        <v>0</v>
      </c>
      <c r="AK25" s="13">
        <f>IF(AN25=15,M25,0)</f>
        <v>0</v>
      </c>
      <c r="AL25" s="13">
        <f>IF(AN25=21,M25,0)</f>
        <v>0</v>
      </c>
      <c r="AN25" s="13">
        <v>21</v>
      </c>
      <c r="AO25" s="13">
        <f>J25*0</f>
        <v>0</v>
      </c>
      <c r="AP25" s="13">
        <f>J25*(1-0)</f>
        <v>0</v>
      </c>
      <c r="AQ25" s="32" t="s">
        <v>857</v>
      </c>
      <c r="AV25" s="13">
        <f>AW25+AX25</f>
        <v>0</v>
      </c>
      <c r="AW25" s="13">
        <f>I25*AO25</f>
        <v>0</v>
      </c>
      <c r="AX25" s="13">
        <f>I25*AP25</f>
        <v>0</v>
      </c>
      <c r="AY25" s="32" t="s">
        <v>1276</v>
      </c>
      <c r="AZ25" s="32" t="s">
        <v>261</v>
      </c>
      <c r="BA25" s="21" t="s">
        <v>683</v>
      </c>
      <c r="BC25" s="13">
        <f>AW25+AX25</f>
        <v>0</v>
      </c>
      <c r="BD25" s="13">
        <f>J25/(100-BE25)*100</f>
        <v>0</v>
      </c>
      <c r="BE25" s="13">
        <v>0</v>
      </c>
      <c r="BF25" s="13">
        <f>25</f>
        <v>25</v>
      </c>
      <c r="BH25" s="13">
        <f>I25*AO25</f>
        <v>0</v>
      </c>
      <c r="BI25" s="13">
        <f>I25*AP25</f>
        <v>0</v>
      </c>
      <c r="BJ25" s="13">
        <f>I25*J25</f>
        <v>0</v>
      </c>
      <c r="BK25" s="13"/>
      <c r="BL25" s="13"/>
    </row>
    <row r="26" spans="1:64" ht="15" customHeight="1">
      <c r="A26" s="11" t="s">
        <v>457</v>
      </c>
      <c r="B26" s="48" t="s">
        <v>1274</v>
      </c>
      <c r="C26" s="48" t="s">
        <v>619</v>
      </c>
      <c r="D26" s="61" t="s">
        <v>239</v>
      </c>
      <c r="E26" s="61"/>
      <c r="F26" s="61"/>
      <c r="G26" s="61"/>
      <c r="H26" s="48" t="s">
        <v>299</v>
      </c>
      <c r="I26" s="13">
        <v>3</v>
      </c>
      <c r="J26" s="13">
        <v>0</v>
      </c>
      <c r="K26" s="13">
        <f>I26*AO26</f>
        <v>0</v>
      </c>
      <c r="L26" s="13">
        <f>I26*AP26</f>
        <v>0</v>
      </c>
      <c r="M26" s="13">
        <f>I26*J26</f>
        <v>0</v>
      </c>
      <c r="N26" s="13">
        <v>0</v>
      </c>
      <c r="O26" s="10" t="s">
        <v>851</v>
      </c>
      <c r="Z26" s="13">
        <f>IF(AQ26="5",BJ26,0)</f>
        <v>0</v>
      </c>
      <c r="AB26" s="13">
        <f>IF(AQ26="1",BH26,0)</f>
        <v>0</v>
      </c>
      <c r="AC26" s="13">
        <f>IF(AQ26="1",BI26,0)</f>
        <v>0</v>
      </c>
      <c r="AD26" s="13">
        <f>IF(AQ26="7",BH26,0)</f>
        <v>0</v>
      </c>
      <c r="AE26" s="13">
        <f>IF(AQ26="7",BI26,0)</f>
        <v>0</v>
      </c>
      <c r="AF26" s="13">
        <f>IF(AQ26="2",BH26,0)</f>
        <v>0</v>
      </c>
      <c r="AG26" s="13">
        <f>IF(AQ26="2",BI26,0)</f>
        <v>0</v>
      </c>
      <c r="AH26" s="13">
        <f>IF(AQ26="0",BJ26,0)</f>
        <v>0</v>
      </c>
      <c r="AI26" s="21" t="s">
        <v>1274</v>
      </c>
      <c r="AJ26" s="13">
        <f>IF(AN26=0,M26,0)</f>
        <v>0</v>
      </c>
      <c r="AK26" s="13">
        <f>IF(AN26=15,M26,0)</f>
        <v>0</v>
      </c>
      <c r="AL26" s="13">
        <f>IF(AN26=21,M26,0)</f>
        <v>0</v>
      </c>
      <c r="AN26" s="13">
        <v>21</v>
      </c>
      <c r="AO26" s="13">
        <f>J26*0</f>
        <v>0</v>
      </c>
      <c r="AP26" s="13">
        <f>J26*(1-0)</f>
        <v>0</v>
      </c>
      <c r="AQ26" s="32" t="s">
        <v>857</v>
      </c>
      <c r="AV26" s="13">
        <f>AW26+AX26</f>
        <v>0</v>
      </c>
      <c r="AW26" s="13">
        <f>I26*AO26</f>
        <v>0</v>
      </c>
      <c r="AX26" s="13">
        <f>I26*AP26</f>
        <v>0</v>
      </c>
      <c r="AY26" s="32" t="s">
        <v>1276</v>
      </c>
      <c r="AZ26" s="32" t="s">
        <v>261</v>
      </c>
      <c r="BA26" s="21" t="s">
        <v>683</v>
      </c>
      <c r="BC26" s="13">
        <f>AW26+AX26</f>
        <v>0</v>
      </c>
      <c r="BD26" s="13">
        <f>J26/(100-BE26)*100</f>
        <v>0</v>
      </c>
      <c r="BE26" s="13">
        <v>0</v>
      </c>
      <c r="BF26" s="13">
        <f>26</f>
        <v>26</v>
      </c>
      <c r="BH26" s="13">
        <f>I26*AO26</f>
        <v>0</v>
      </c>
      <c r="BI26" s="13">
        <f>I26*AP26</f>
        <v>0</v>
      </c>
      <c r="BJ26" s="13">
        <f>I26*J26</f>
        <v>0</v>
      </c>
      <c r="BK26" s="13"/>
      <c r="BL26" s="13"/>
    </row>
    <row r="27" spans="1:15" ht="13.5" customHeight="1">
      <c r="A27" s="39"/>
      <c r="C27" s="7" t="s">
        <v>106</v>
      </c>
      <c r="D27" s="74" t="s">
        <v>1304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/>
    </row>
    <row r="28" spans="1:64" ht="15" customHeight="1">
      <c r="A28" s="11" t="s">
        <v>715</v>
      </c>
      <c r="B28" s="48" t="s">
        <v>1274</v>
      </c>
      <c r="C28" s="48" t="s">
        <v>821</v>
      </c>
      <c r="D28" s="61" t="s">
        <v>1170</v>
      </c>
      <c r="E28" s="61"/>
      <c r="F28" s="61"/>
      <c r="G28" s="61"/>
      <c r="H28" s="48" t="s">
        <v>299</v>
      </c>
      <c r="I28" s="13">
        <v>18</v>
      </c>
      <c r="J28" s="13">
        <v>0</v>
      </c>
      <c r="K28" s="13">
        <f>I28*AO28</f>
        <v>0</v>
      </c>
      <c r="L28" s="13">
        <f>I28*AP28</f>
        <v>0</v>
      </c>
      <c r="M28" s="13">
        <f>I28*J28</f>
        <v>0</v>
      </c>
      <c r="N28" s="13">
        <v>0</v>
      </c>
      <c r="O28" s="10" t="s">
        <v>851</v>
      </c>
      <c r="Z28" s="13">
        <f>IF(AQ28="5",BJ28,0)</f>
        <v>0</v>
      </c>
      <c r="AB28" s="13">
        <f>IF(AQ28="1",BH28,0)</f>
        <v>0</v>
      </c>
      <c r="AC28" s="13">
        <f>IF(AQ28="1",BI28,0)</f>
        <v>0</v>
      </c>
      <c r="AD28" s="13">
        <f>IF(AQ28="7",BH28,0)</f>
        <v>0</v>
      </c>
      <c r="AE28" s="13">
        <f>IF(AQ28="7",BI28,0)</f>
        <v>0</v>
      </c>
      <c r="AF28" s="13">
        <f>IF(AQ28="2",BH28,0)</f>
        <v>0</v>
      </c>
      <c r="AG28" s="13">
        <f>IF(AQ28="2",BI28,0)</f>
        <v>0</v>
      </c>
      <c r="AH28" s="13">
        <f>IF(AQ28="0",BJ28,0)</f>
        <v>0</v>
      </c>
      <c r="AI28" s="21" t="s">
        <v>1274</v>
      </c>
      <c r="AJ28" s="13">
        <f>IF(AN28=0,M28,0)</f>
        <v>0</v>
      </c>
      <c r="AK28" s="13">
        <f>IF(AN28=15,M28,0)</f>
        <v>0</v>
      </c>
      <c r="AL28" s="13">
        <f>IF(AN28=21,M28,0)</f>
        <v>0</v>
      </c>
      <c r="AN28" s="13">
        <v>21</v>
      </c>
      <c r="AO28" s="13">
        <f>J28*0</f>
        <v>0</v>
      </c>
      <c r="AP28" s="13">
        <f>J28*(1-0)</f>
        <v>0</v>
      </c>
      <c r="AQ28" s="32" t="s">
        <v>857</v>
      </c>
      <c r="AV28" s="13">
        <f>AW28+AX28</f>
        <v>0</v>
      </c>
      <c r="AW28" s="13">
        <f>I28*AO28</f>
        <v>0</v>
      </c>
      <c r="AX28" s="13">
        <f>I28*AP28</f>
        <v>0</v>
      </c>
      <c r="AY28" s="32" t="s">
        <v>1276</v>
      </c>
      <c r="AZ28" s="32" t="s">
        <v>261</v>
      </c>
      <c r="BA28" s="21" t="s">
        <v>683</v>
      </c>
      <c r="BC28" s="13">
        <f>AW28+AX28</f>
        <v>0</v>
      </c>
      <c r="BD28" s="13">
        <f>J28/(100-BE28)*100</f>
        <v>0</v>
      </c>
      <c r="BE28" s="13">
        <v>0</v>
      </c>
      <c r="BF28" s="13">
        <f>28</f>
        <v>28</v>
      </c>
      <c r="BH28" s="13">
        <f>I28*AO28</f>
        <v>0</v>
      </c>
      <c r="BI28" s="13">
        <f>I28*AP28</f>
        <v>0</v>
      </c>
      <c r="BJ28" s="13">
        <f>I28*J28</f>
        <v>0</v>
      </c>
      <c r="BK28" s="13"/>
      <c r="BL28" s="13"/>
    </row>
    <row r="29" spans="1:64" ht="15" customHeight="1">
      <c r="A29" s="11" t="s">
        <v>1031</v>
      </c>
      <c r="B29" s="48" t="s">
        <v>1274</v>
      </c>
      <c r="C29" s="48" t="s">
        <v>1087</v>
      </c>
      <c r="D29" s="61" t="s">
        <v>1066</v>
      </c>
      <c r="E29" s="61"/>
      <c r="F29" s="61"/>
      <c r="G29" s="61"/>
      <c r="H29" s="48" t="s">
        <v>299</v>
      </c>
      <c r="I29" s="13">
        <v>18</v>
      </c>
      <c r="J29" s="13">
        <v>0</v>
      </c>
      <c r="K29" s="13">
        <f>I29*AO29</f>
        <v>0</v>
      </c>
      <c r="L29" s="13">
        <f>I29*AP29</f>
        <v>0</v>
      </c>
      <c r="M29" s="13">
        <f>I29*J29</f>
        <v>0</v>
      </c>
      <c r="N29" s="13">
        <v>0</v>
      </c>
      <c r="O29" s="10" t="s">
        <v>851</v>
      </c>
      <c r="Z29" s="13">
        <f>IF(AQ29="5",BJ29,0)</f>
        <v>0</v>
      </c>
      <c r="AB29" s="13">
        <f>IF(AQ29="1",BH29,0)</f>
        <v>0</v>
      </c>
      <c r="AC29" s="13">
        <f>IF(AQ29="1",BI29,0)</f>
        <v>0</v>
      </c>
      <c r="AD29" s="13">
        <f>IF(AQ29="7",BH29,0)</f>
        <v>0</v>
      </c>
      <c r="AE29" s="13">
        <f>IF(AQ29="7",BI29,0)</f>
        <v>0</v>
      </c>
      <c r="AF29" s="13">
        <f>IF(AQ29="2",BH29,0)</f>
        <v>0</v>
      </c>
      <c r="AG29" s="13">
        <f>IF(AQ29="2",BI29,0)</f>
        <v>0</v>
      </c>
      <c r="AH29" s="13">
        <f>IF(AQ29="0",BJ29,0)</f>
        <v>0</v>
      </c>
      <c r="AI29" s="21" t="s">
        <v>1274</v>
      </c>
      <c r="AJ29" s="13">
        <f>IF(AN29=0,M29,0)</f>
        <v>0</v>
      </c>
      <c r="AK29" s="13">
        <f>IF(AN29=15,M29,0)</f>
        <v>0</v>
      </c>
      <c r="AL29" s="13">
        <f>IF(AN29=21,M29,0)</f>
        <v>0</v>
      </c>
      <c r="AN29" s="13">
        <v>21</v>
      </c>
      <c r="AO29" s="13">
        <f>J29*0</f>
        <v>0</v>
      </c>
      <c r="AP29" s="13">
        <f>J29*(1-0)</f>
        <v>0</v>
      </c>
      <c r="AQ29" s="32" t="s">
        <v>857</v>
      </c>
      <c r="AV29" s="13">
        <f>AW29+AX29</f>
        <v>0</v>
      </c>
      <c r="AW29" s="13">
        <f>I29*AO29</f>
        <v>0</v>
      </c>
      <c r="AX29" s="13">
        <f>I29*AP29</f>
        <v>0</v>
      </c>
      <c r="AY29" s="32" t="s">
        <v>1276</v>
      </c>
      <c r="AZ29" s="32" t="s">
        <v>261</v>
      </c>
      <c r="BA29" s="21" t="s">
        <v>683</v>
      </c>
      <c r="BC29" s="13">
        <f>AW29+AX29</f>
        <v>0</v>
      </c>
      <c r="BD29" s="13">
        <f>J29/(100-BE29)*100</f>
        <v>0</v>
      </c>
      <c r="BE29" s="13">
        <v>0</v>
      </c>
      <c r="BF29" s="13">
        <f>29</f>
        <v>29</v>
      </c>
      <c r="BH29" s="13">
        <f>I29*AO29</f>
        <v>0</v>
      </c>
      <c r="BI29" s="13">
        <f>I29*AP29</f>
        <v>0</v>
      </c>
      <c r="BJ29" s="13">
        <f>I29*J29</f>
        <v>0</v>
      </c>
      <c r="BK29" s="13"/>
      <c r="BL29" s="13"/>
    </row>
    <row r="30" spans="1:47" ht="15" customHeight="1">
      <c r="A30" s="30" t="s">
        <v>862</v>
      </c>
      <c r="B30" s="18" t="s">
        <v>1274</v>
      </c>
      <c r="C30" s="18" t="s">
        <v>726</v>
      </c>
      <c r="D30" s="73" t="s">
        <v>772</v>
      </c>
      <c r="E30" s="73"/>
      <c r="F30" s="73"/>
      <c r="G30" s="73"/>
      <c r="H30" s="15" t="s">
        <v>1148</v>
      </c>
      <c r="I30" s="15" t="s">
        <v>1148</v>
      </c>
      <c r="J30" s="15" t="s">
        <v>1148</v>
      </c>
      <c r="K30" s="56">
        <f>SUM(K31:K33)</f>
        <v>0</v>
      </c>
      <c r="L30" s="56">
        <f>SUM(L31:L33)</f>
        <v>0</v>
      </c>
      <c r="M30" s="56">
        <f>SUM(M31:M33)</f>
        <v>0</v>
      </c>
      <c r="N30" s="21" t="s">
        <v>862</v>
      </c>
      <c r="O30" s="47" t="s">
        <v>862</v>
      </c>
      <c r="AI30" s="21" t="s">
        <v>1274</v>
      </c>
      <c r="AS30" s="56">
        <f>SUM(AJ31:AJ33)</f>
        <v>0</v>
      </c>
      <c r="AT30" s="56">
        <f>SUM(AK31:AK33)</f>
        <v>0</v>
      </c>
      <c r="AU30" s="56">
        <f>SUM(AL31:AL33)</f>
        <v>0</v>
      </c>
    </row>
    <row r="31" spans="1:64" ht="15" customHeight="1">
      <c r="A31" s="11" t="s">
        <v>916</v>
      </c>
      <c r="B31" s="48" t="s">
        <v>1274</v>
      </c>
      <c r="C31" s="48" t="s">
        <v>1042</v>
      </c>
      <c r="D31" s="61" t="s">
        <v>462</v>
      </c>
      <c r="E31" s="61"/>
      <c r="F31" s="61"/>
      <c r="G31" s="61"/>
      <c r="H31" s="48" t="s">
        <v>299</v>
      </c>
      <c r="I31" s="13">
        <v>18</v>
      </c>
      <c r="J31" s="13">
        <v>0</v>
      </c>
      <c r="K31" s="13">
        <f>I31*AO31</f>
        <v>0</v>
      </c>
      <c r="L31" s="13">
        <f>I31*AP31</f>
        <v>0</v>
      </c>
      <c r="M31" s="13">
        <f>I31*J31</f>
        <v>0</v>
      </c>
      <c r="N31" s="13">
        <v>0</v>
      </c>
      <c r="O31" s="10" t="s">
        <v>851</v>
      </c>
      <c r="Z31" s="13">
        <f>IF(AQ31="5",BJ31,0)</f>
        <v>0</v>
      </c>
      <c r="AB31" s="13">
        <f>IF(AQ31="1",BH31,0)</f>
        <v>0</v>
      </c>
      <c r="AC31" s="13">
        <f>IF(AQ31="1",BI31,0)</f>
        <v>0</v>
      </c>
      <c r="AD31" s="13">
        <f>IF(AQ31="7",BH31,0)</f>
        <v>0</v>
      </c>
      <c r="AE31" s="13">
        <f>IF(AQ31="7",BI31,0)</f>
        <v>0</v>
      </c>
      <c r="AF31" s="13">
        <f>IF(AQ31="2",BH31,0)</f>
        <v>0</v>
      </c>
      <c r="AG31" s="13">
        <f>IF(AQ31="2",BI31,0)</f>
        <v>0</v>
      </c>
      <c r="AH31" s="13">
        <f>IF(AQ31="0",BJ31,0)</f>
        <v>0</v>
      </c>
      <c r="AI31" s="21" t="s">
        <v>1274</v>
      </c>
      <c r="AJ31" s="13">
        <f>IF(AN31=0,M31,0)</f>
        <v>0</v>
      </c>
      <c r="AK31" s="13">
        <f>IF(AN31=15,M31,0)</f>
        <v>0</v>
      </c>
      <c r="AL31" s="13">
        <f>IF(AN31=21,M31,0)</f>
        <v>0</v>
      </c>
      <c r="AN31" s="13">
        <v>21</v>
      </c>
      <c r="AO31" s="13">
        <f>J31*0</f>
        <v>0</v>
      </c>
      <c r="AP31" s="13">
        <f>J31*(1-0)</f>
        <v>0</v>
      </c>
      <c r="AQ31" s="32" t="s">
        <v>857</v>
      </c>
      <c r="AV31" s="13">
        <f>AW31+AX31</f>
        <v>0</v>
      </c>
      <c r="AW31" s="13">
        <f>I31*AO31</f>
        <v>0</v>
      </c>
      <c r="AX31" s="13">
        <f>I31*AP31</f>
        <v>0</v>
      </c>
      <c r="AY31" s="32" t="s">
        <v>1082</v>
      </c>
      <c r="AZ31" s="32" t="s">
        <v>261</v>
      </c>
      <c r="BA31" s="21" t="s">
        <v>683</v>
      </c>
      <c r="BC31" s="13">
        <f>AW31+AX31</f>
        <v>0</v>
      </c>
      <c r="BD31" s="13">
        <f>J31/(100-BE31)*100</f>
        <v>0</v>
      </c>
      <c r="BE31" s="13">
        <v>0</v>
      </c>
      <c r="BF31" s="13">
        <f>31</f>
        <v>31</v>
      </c>
      <c r="BH31" s="13">
        <f>I31*AO31</f>
        <v>0</v>
      </c>
      <c r="BI31" s="13">
        <f>I31*AP31</f>
        <v>0</v>
      </c>
      <c r="BJ31" s="13">
        <f>I31*J31</f>
        <v>0</v>
      </c>
      <c r="BK31" s="13"/>
      <c r="BL31" s="13"/>
    </row>
    <row r="32" spans="1:64" ht="15" customHeight="1">
      <c r="A32" s="11" t="s">
        <v>356</v>
      </c>
      <c r="B32" s="48" t="s">
        <v>1274</v>
      </c>
      <c r="C32" s="48" t="s">
        <v>40</v>
      </c>
      <c r="D32" s="61" t="s">
        <v>1081</v>
      </c>
      <c r="E32" s="61"/>
      <c r="F32" s="61"/>
      <c r="G32" s="61"/>
      <c r="H32" s="48" t="s">
        <v>1195</v>
      </c>
      <c r="I32" s="13">
        <v>105</v>
      </c>
      <c r="J32" s="13">
        <v>0</v>
      </c>
      <c r="K32" s="13">
        <f>I32*AO32</f>
        <v>0</v>
      </c>
      <c r="L32" s="13">
        <f>I32*AP32</f>
        <v>0</v>
      </c>
      <c r="M32" s="13">
        <f>I32*J32</f>
        <v>0</v>
      </c>
      <c r="N32" s="13">
        <v>0</v>
      </c>
      <c r="O32" s="10" t="s">
        <v>851</v>
      </c>
      <c r="Z32" s="13">
        <f>IF(AQ32="5",BJ32,0)</f>
        <v>0</v>
      </c>
      <c r="AB32" s="13">
        <f>IF(AQ32="1",BH32,0)</f>
        <v>0</v>
      </c>
      <c r="AC32" s="13">
        <f>IF(AQ32="1",BI32,0)</f>
        <v>0</v>
      </c>
      <c r="AD32" s="13">
        <f>IF(AQ32="7",BH32,0)</f>
        <v>0</v>
      </c>
      <c r="AE32" s="13">
        <f>IF(AQ32="7",BI32,0)</f>
        <v>0</v>
      </c>
      <c r="AF32" s="13">
        <f>IF(AQ32="2",BH32,0)</f>
        <v>0</v>
      </c>
      <c r="AG32" s="13">
        <f>IF(AQ32="2",BI32,0)</f>
        <v>0</v>
      </c>
      <c r="AH32" s="13">
        <f>IF(AQ32="0",BJ32,0)</f>
        <v>0</v>
      </c>
      <c r="AI32" s="21" t="s">
        <v>1274</v>
      </c>
      <c r="AJ32" s="13">
        <f>IF(AN32=0,M32,0)</f>
        <v>0</v>
      </c>
      <c r="AK32" s="13">
        <f>IF(AN32=15,M32,0)</f>
        <v>0</v>
      </c>
      <c r="AL32" s="13">
        <f>IF(AN32=21,M32,0)</f>
        <v>0</v>
      </c>
      <c r="AN32" s="13">
        <v>21</v>
      </c>
      <c r="AO32" s="13">
        <f>J32*0</f>
        <v>0</v>
      </c>
      <c r="AP32" s="13">
        <f>J32*(1-0)</f>
        <v>0</v>
      </c>
      <c r="AQ32" s="32" t="s">
        <v>857</v>
      </c>
      <c r="AV32" s="13">
        <f>AW32+AX32</f>
        <v>0</v>
      </c>
      <c r="AW32" s="13">
        <f>I32*AO32</f>
        <v>0</v>
      </c>
      <c r="AX32" s="13">
        <f>I32*AP32</f>
        <v>0</v>
      </c>
      <c r="AY32" s="32" t="s">
        <v>1082</v>
      </c>
      <c r="AZ32" s="32" t="s">
        <v>261</v>
      </c>
      <c r="BA32" s="21" t="s">
        <v>683</v>
      </c>
      <c r="BC32" s="13">
        <f>AW32+AX32</f>
        <v>0</v>
      </c>
      <c r="BD32" s="13">
        <f>J32/(100-BE32)*100</f>
        <v>0</v>
      </c>
      <c r="BE32" s="13">
        <v>0</v>
      </c>
      <c r="BF32" s="13">
        <f>32</f>
        <v>32</v>
      </c>
      <c r="BH32" s="13">
        <f>I32*AO32</f>
        <v>0</v>
      </c>
      <c r="BI32" s="13">
        <f>I32*AP32</f>
        <v>0</v>
      </c>
      <c r="BJ32" s="13">
        <f>I32*J32</f>
        <v>0</v>
      </c>
      <c r="BK32" s="13"/>
      <c r="BL32" s="13"/>
    </row>
    <row r="33" spans="1:64" ht="15" customHeight="1">
      <c r="A33" s="11" t="s">
        <v>733</v>
      </c>
      <c r="B33" s="48" t="s">
        <v>1274</v>
      </c>
      <c r="C33" s="48" t="s">
        <v>938</v>
      </c>
      <c r="D33" s="61" t="s">
        <v>402</v>
      </c>
      <c r="E33" s="61"/>
      <c r="F33" s="61"/>
      <c r="G33" s="61"/>
      <c r="H33" s="48" t="s">
        <v>1018</v>
      </c>
      <c r="I33" s="13">
        <v>220</v>
      </c>
      <c r="J33" s="13">
        <v>0</v>
      </c>
      <c r="K33" s="13">
        <f>I33*AO33</f>
        <v>0</v>
      </c>
      <c r="L33" s="13">
        <f>I33*AP33</f>
        <v>0</v>
      </c>
      <c r="M33" s="13">
        <f>I33*J33</f>
        <v>0</v>
      </c>
      <c r="N33" s="13">
        <v>0.20475</v>
      </c>
      <c r="O33" s="10" t="s">
        <v>851</v>
      </c>
      <c r="Z33" s="13">
        <f>IF(AQ33="5",BJ33,0)</f>
        <v>0</v>
      </c>
      <c r="AB33" s="13">
        <f>IF(AQ33="1",BH33,0)</f>
        <v>0</v>
      </c>
      <c r="AC33" s="13">
        <f>IF(AQ33="1",BI33,0)</f>
        <v>0</v>
      </c>
      <c r="AD33" s="13">
        <f>IF(AQ33="7",BH33,0)</f>
        <v>0</v>
      </c>
      <c r="AE33" s="13">
        <f>IF(AQ33="7",BI33,0)</f>
        <v>0</v>
      </c>
      <c r="AF33" s="13">
        <f>IF(AQ33="2",BH33,0)</f>
        <v>0</v>
      </c>
      <c r="AG33" s="13">
        <f>IF(AQ33="2",BI33,0)</f>
        <v>0</v>
      </c>
      <c r="AH33" s="13">
        <f>IF(AQ33="0",BJ33,0)</f>
        <v>0</v>
      </c>
      <c r="AI33" s="21" t="s">
        <v>1274</v>
      </c>
      <c r="AJ33" s="13">
        <f>IF(AN33=0,M33,0)</f>
        <v>0</v>
      </c>
      <c r="AK33" s="13">
        <f>IF(AN33=15,M33,0)</f>
        <v>0</v>
      </c>
      <c r="AL33" s="13">
        <f>IF(AN33=21,M33,0)</f>
        <v>0</v>
      </c>
      <c r="AN33" s="13">
        <v>21</v>
      </c>
      <c r="AO33" s="13">
        <f>J33*0.586725663716814</f>
        <v>0</v>
      </c>
      <c r="AP33" s="13">
        <f>J33*(1-0.586725663716814)</f>
        <v>0</v>
      </c>
      <c r="AQ33" s="32" t="s">
        <v>857</v>
      </c>
      <c r="AV33" s="13">
        <f>AW33+AX33</f>
        <v>0</v>
      </c>
      <c r="AW33" s="13">
        <f>I33*AO33</f>
        <v>0</v>
      </c>
      <c r="AX33" s="13">
        <f>I33*AP33</f>
        <v>0</v>
      </c>
      <c r="AY33" s="32" t="s">
        <v>1082</v>
      </c>
      <c r="AZ33" s="32" t="s">
        <v>261</v>
      </c>
      <c r="BA33" s="21" t="s">
        <v>683</v>
      </c>
      <c r="BC33" s="13">
        <f>AW33+AX33</f>
        <v>0</v>
      </c>
      <c r="BD33" s="13">
        <f>J33/(100-BE33)*100</f>
        <v>0</v>
      </c>
      <c r="BE33" s="13">
        <v>0</v>
      </c>
      <c r="BF33" s="13">
        <f>33</f>
        <v>33</v>
      </c>
      <c r="BH33" s="13">
        <f>I33*AO33</f>
        <v>0</v>
      </c>
      <c r="BI33" s="13">
        <f>I33*AP33</f>
        <v>0</v>
      </c>
      <c r="BJ33" s="13">
        <f>I33*J33</f>
        <v>0</v>
      </c>
      <c r="BK33" s="13"/>
      <c r="BL33" s="13"/>
    </row>
    <row r="34" spans="1:47" ht="15" customHeight="1">
      <c r="A34" s="30" t="s">
        <v>862</v>
      </c>
      <c r="B34" s="18" t="s">
        <v>1274</v>
      </c>
      <c r="C34" s="18" t="s">
        <v>1094</v>
      </c>
      <c r="D34" s="73" t="s">
        <v>353</v>
      </c>
      <c r="E34" s="73"/>
      <c r="F34" s="73"/>
      <c r="G34" s="73"/>
      <c r="H34" s="15" t="s">
        <v>1148</v>
      </c>
      <c r="I34" s="15" t="s">
        <v>1148</v>
      </c>
      <c r="J34" s="15" t="s">
        <v>1148</v>
      </c>
      <c r="K34" s="56">
        <f>SUM(K35:K41)</f>
        <v>0</v>
      </c>
      <c r="L34" s="56">
        <f>SUM(L35:L41)</f>
        <v>0</v>
      </c>
      <c r="M34" s="56">
        <f>SUM(M35:M41)</f>
        <v>0</v>
      </c>
      <c r="N34" s="21" t="s">
        <v>862</v>
      </c>
      <c r="O34" s="47" t="s">
        <v>862</v>
      </c>
      <c r="AI34" s="21" t="s">
        <v>1274</v>
      </c>
      <c r="AS34" s="56">
        <f>SUM(AJ35:AJ41)</f>
        <v>0</v>
      </c>
      <c r="AT34" s="56">
        <f>SUM(AK35:AK41)</f>
        <v>0</v>
      </c>
      <c r="AU34" s="56">
        <f>SUM(AL35:AL41)</f>
        <v>0</v>
      </c>
    </row>
    <row r="35" spans="1:64" ht="15" customHeight="1">
      <c r="A35" s="11" t="s">
        <v>473</v>
      </c>
      <c r="B35" s="48" t="s">
        <v>1274</v>
      </c>
      <c r="C35" s="48" t="s">
        <v>1360</v>
      </c>
      <c r="D35" s="61" t="s">
        <v>615</v>
      </c>
      <c r="E35" s="61"/>
      <c r="F35" s="61"/>
      <c r="G35" s="61"/>
      <c r="H35" s="48" t="s">
        <v>299</v>
      </c>
      <c r="I35" s="13">
        <v>18</v>
      </c>
      <c r="J35" s="13">
        <v>0</v>
      </c>
      <c r="K35" s="13">
        <f>I35*AO35</f>
        <v>0</v>
      </c>
      <c r="L35" s="13">
        <f>I35*AP35</f>
        <v>0</v>
      </c>
      <c r="M35" s="13">
        <f>I35*J35</f>
        <v>0</v>
      </c>
      <c r="N35" s="13">
        <v>0</v>
      </c>
      <c r="O35" s="10" t="s">
        <v>851</v>
      </c>
      <c r="Z35" s="13">
        <f>IF(AQ35="5",BJ35,0)</f>
        <v>0</v>
      </c>
      <c r="AB35" s="13">
        <f>IF(AQ35="1",BH35,0)</f>
        <v>0</v>
      </c>
      <c r="AC35" s="13">
        <f>IF(AQ35="1",BI35,0)</f>
        <v>0</v>
      </c>
      <c r="AD35" s="13">
        <f>IF(AQ35="7",BH35,0)</f>
        <v>0</v>
      </c>
      <c r="AE35" s="13">
        <f>IF(AQ35="7",BI35,0)</f>
        <v>0</v>
      </c>
      <c r="AF35" s="13">
        <f>IF(AQ35="2",BH35,0)</f>
        <v>0</v>
      </c>
      <c r="AG35" s="13">
        <f>IF(AQ35="2",BI35,0)</f>
        <v>0</v>
      </c>
      <c r="AH35" s="13">
        <f>IF(AQ35="0",BJ35,0)</f>
        <v>0</v>
      </c>
      <c r="AI35" s="21" t="s">
        <v>1274</v>
      </c>
      <c r="AJ35" s="13">
        <f>IF(AN35=0,M35,0)</f>
        <v>0</v>
      </c>
      <c r="AK35" s="13">
        <f>IF(AN35=15,M35,0)</f>
        <v>0</v>
      </c>
      <c r="AL35" s="13">
        <f>IF(AN35=21,M35,0)</f>
        <v>0</v>
      </c>
      <c r="AN35" s="13">
        <v>21</v>
      </c>
      <c r="AO35" s="13">
        <f>J35*0</f>
        <v>0</v>
      </c>
      <c r="AP35" s="13">
        <f>J35*(1-0)</f>
        <v>0</v>
      </c>
      <c r="AQ35" s="32" t="s">
        <v>857</v>
      </c>
      <c r="AV35" s="13">
        <f>AW35+AX35</f>
        <v>0</v>
      </c>
      <c r="AW35" s="13">
        <f>I35*AO35</f>
        <v>0</v>
      </c>
      <c r="AX35" s="13">
        <f>I35*AP35</f>
        <v>0</v>
      </c>
      <c r="AY35" s="32" t="s">
        <v>1318</v>
      </c>
      <c r="AZ35" s="32" t="s">
        <v>261</v>
      </c>
      <c r="BA35" s="21" t="s">
        <v>683</v>
      </c>
      <c r="BC35" s="13">
        <f>AW35+AX35</f>
        <v>0</v>
      </c>
      <c r="BD35" s="13">
        <f>J35/(100-BE35)*100</f>
        <v>0</v>
      </c>
      <c r="BE35" s="13">
        <v>0</v>
      </c>
      <c r="BF35" s="13">
        <f>35</f>
        <v>35</v>
      </c>
      <c r="BH35" s="13">
        <f>I35*AO35</f>
        <v>0</v>
      </c>
      <c r="BI35" s="13">
        <f>I35*AP35</f>
        <v>0</v>
      </c>
      <c r="BJ35" s="13">
        <f>I35*J35</f>
        <v>0</v>
      </c>
      <c r="BK35" s="13"/>
      <c r="BL35" s="13"/>
    </row>
    <row r="36" spans="1:64" ht="15" customHeight="1">
      <c r="A36" s="11" t="s">
        <v>113</v>
      </c>
      <c r="B36" s="48" t="s">
        <v>1274</v>
      </c>
      <c r="C36" s="48" t="s">
        <v>36</v>
      </c>
      <c r="D36" s="61" t="s">
        <v>246</v>
      </c>
      <c r="E36" s="61"/>
      <c r="F36" s="61"/>
      <c r="G36" s="61"/>
      <c r="H36" s="48" t="s">
        <v>299</v>
      </c>
      <c r="I36" s="13">
        <v>18</v>
      </c>
      <c r="J36" s="13">
        <v>0</v>
      </c>
      <c r="K36" s="13">
        <f>I36*AO36</f>
        <v>0</v>
      </c>
      <c r="L36" s="13">
        <f>I36*AP36</f>
        <v>0</v>
      </c>
      <c r="M36" s="13">
        <f>I36*J36</f>
        <v>0</v>
      </c>
      <c r="N36" s="13">
        <v>0</v>
      </c>
      <c r="O36" s="10" t="s">
        <v>851</v>
      </c>
      <c r="Z36" s="13">
        <f>IF(AQ36="5",BJ36,0)</f>
        <v>0</v>
      </c>
      <c r="AB36" s="13">
        <f>IF(AQ36="1",BH36,0)</f>
        <v>0</v>
      </c>
      <c r="AC36" s="13">
        <f>IF(AQ36="1",BI36,0)</f>
        <v>0</v>
      </c>
      <c r="AD36" s="13">
        <f>IF(AQ36="7",BH36,0)</f>
        <v>0</v>
      </c>
      <c r="AE36" s="13">
        <f>IF(AQ36="7",BI36,0)</f>
        <v>0</v>
      </c>
      <c r="AF36" s="13">
        <f>IF(AQ36="2",BH36,0)</f>
        <v>0</v>
      </c>
      <c r="AG36" s="13">
        <f>IF(AQ36="2",BI36,0)</f>
        <v>0</v>
      </c>
      <c r="AH36" s="13">
        <f>IF(AQ36="0",BJ36,0)</f>
        <v>0</v>
      </c>
      <c r="AI36" s="21" t="s">
        <v>1274</v>
      </c>
      <c r="AJ36" s="13">
        <f>IF(AN36=0,M36,0)</f>
        <v>0</v>
      </c>
      <c r="AK36" s="13">
        <f>IF(AN36=15,M36,0)</f>
        <v>0</v>
      </c>
      <c r="AL36" s="13">
        <f>IF(AN36=21,M36,0)</f>
        <v>0</v>
      </c>
      <c r="AN36" s="13">
        <v>21</v>
      </c>
      <c r="AO36" s="13">
        <f>J36*0</f>
        <v>0</v>
      </c>
      <c r="AP36" s="13">
        <f>J36*(1-0)</f>
        <v>0</v>
      </c>
      <c r="AQ36" s="32" t="s">
        <v>857</v>
      </c>
      <c r="AV36" s="13">
        <f>AW36+AX36</f>
        <v>0</v>
      </c>
      <c r="AW36" s="13">
        <f>I36*AO36</f>
        <v>0</v>
      </c>
      <c r="AX36" s="13">
        <f>I36*AP36</f>
        <v>0</v>
      </c>
      <c r="AY36" s="32" t="s">
        <v>1318</v>
      </c>
      <c r="AZ36" s="32" t="s">
        <v>261</v>
      </c>
      <c r="BA36" s="21" t="s">
        <v>683</v>
      </c>
      <c r="BC36" s="13">
        <f>AW36+AX36</f>
        <v>0</v>
      </c>
      <c r="BD36" s="13">
        <f>J36/(100-BE36)*100</f>
        <v>0</v>
      </c>
      <c r="BE36" s="13">
        <v>0</v>
      </c>
      <c r="BF36" s="13">
        <f>36</f>
        <v>36</v>
      </c>
      <c r="BH36" s="13">
        <f>I36*AO36</f>
        <v>0</v>
      </c>
      <c r="BI36" s="13">
        <f>I36*AP36</f>
        <v>0</v>
      </c>
      <c r="BJ36" s="13">
        <f>I36*J36</f>
        <v>0</v>
      </c>
      <c r="BK36" s="13"/>
      <c r="BL36" s="13"/>
    </row>
    <row r="37" spans="1:64" ht="15" customHeight="1">
      <c r="A37" s="11" t="s">
        <v>868</v>
      </c>
      <c r="B37" s="48" t="s">
        <v>1274</v>
      </c>
      <c r="C37" s="48" t="s">
        <v>917</v>
      </c>
      <c r="D37" s="61" t="s">
        <v>1050</v>
      </c>
      <c r="E37" s="61"/>
      <c r="F37" s="61"/>
      <c r="G37" s="61"/>
      <c r="H37" s="48" t="s">
        <v>299</v>
      </c>
      <c r="I37" s="13">
        <v>18</v>
      </c>
      <c r="J37" s="13">
        <v>0</v>
      </c>
      <c r="K37" s="13">
        <f>I37*AO37</f>
        <v>0</v>
      </c>
      <c r="L37" s="13">
        <f>I37*AP37</f>
        <v>0</v>
      </c>
      <c r="M37" s="13">
        <f>I37*J37</f>
        <v>0</v>
      </c>
      <c r="N37" s="13">
        <v>0</v>
      </c>
      <c r="O37" s="10" t="s">
        <v>851</v>
      </c>
      <c r="Z37" s="13">
        <f>IF(AQ37="5",BJ37,0)</f>
        <v>0</v>
      </c>
      <c r="AB37" s="13">
        <f>IF(AQ37="1",BH37,0)</f>
        <v>0</v>
      </c>
      <c r="AC37" s="13">
        <f>IF(AQ37="1",BI37,0)</f>
        <v>0</v>
      </c>
      <c r="AD37" s="13">
        <f>IF(AQ37="7",BH37,0)</f>
        <v>0</v>
      </c>
      <c r="AE37" s="13">
        <f>IF(AQ37="7",BI37,0)</f>
        <v>0</v>
      </c>
      <c r="AF37" s="13">
        <f>IF(AQ37="2",BH37,0)</f>
        <v>0</v>
      </c>
      <c r="AG37" s="13">
        <f>IF(AQ37="2",BI37,0)</f>
        <v>0</v>
      </c>
      <c r="AH37" s="13">
        <f>IF(AQ37="0",BJ37,0)</f>
        <v>0</v>
      </c>
      <c r="AI37" s="21" t="s">
        <v>1274</v>
      </c>
      <c r="AJ37" s="13">
        <f>IF(AN37=0,M37,0)</f>
        <v>0</v>
      </c>
      <c r="AK37" s="13">
        <f>IF(AN37=15,M37,0)</f>
        <v>0</v>
      </c>
      <c r="AL37" s="13">
        <f>IF(AN37=21,M37,0)</f>
        <v>0</v>
      </c>
      <c r="AN37" s="13">
        <v>21</v>
      </c>
      <c r="AO37" s="13">
        <f>J37*0</f>
        <v>0</v>
      </c>
      <c r="AP37" s="13">
        <f>J37*(1-0)</f>
        <v>0</v>
      </c>
      <c r="AQ37" s="32" t="s">
        <v>857</v>
      </c>
      <c r="AV37" s="13">
        <f>AW37+AX37</f>
        <v>0</v>
      </c>
      <c r="AW37" s="13">
        <f>I37*AO37</f>
        <v>0</v>
      </c>
      <c r="AX37" s="13">
        <f>I37*AP37</f>
        <v>0</v>
      </c>
      <c r="AY37" s="32" t="s">
        <v>1318</v>
      </c>
      <c r="AZ37" s="32" t="s">
        <v>261</v>
      </c>
      <c r="BA37" s="21" t="s">
        <v>683</v>
      </c>
      <c r="BC37" s="13">
        <f>AW37+AX37</f>
        <v>0</v>
      </c>
      <c r="BD37" s="13">
        <f>J37/(100-BE37)*100</f>
        <v>0</v>
      </c>
      <c r="BE37" s="13">
        <v>0</v>
      </c>
      <c r="BF37" s="13">
        <f>37</f>
        <v>37</v>
      </c>
      <c r="BH37" s="13">
        <f>I37*AO37</f>
        <v>0</v>
      </c>
      <c r="BI37" s="13">
        <f>I37*AP37</f>
        <v>0</v>
      </c>
      <c r="BJ37" s="13">
        <f>I37*J37</f>
        <v>0</v>
      </c>
      <c r="BK37" s="13"/>
      <c r="BL37" s="13"/>
    </row>
    <row r="38" spans="1:15" ht="13.5" customHeight="1">
      <c r="A38" s="39"/>
      <c r="C38" s="7" t="s">
        <v>106</v>
      </c>
      <c r="D38" s="74" t="s">
        <v>1120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</row>
    <row r="39" spans="1:64" ht="15" customHeight="1">
      <c r="A39" s="11" t="s">
        <v>993</v>
      </c>
      <c r="B39" s="48" t="s">
        <v>1274</v>
      </c>
      <c r="C39" s="48" t="s">
        <v>20</v>
      </c>
      <c r="D39" s="61" t="s">
        <v>757</v>
      </c>
      <c r="E39" s="61"/>
      <c r="F39" s="61"/>
      <c r="G39" s="61"/>
      <c r="H39" s="48" t="s">
        <v>299</v>
      </c>
      <c r="I39" s="13">
        <v>18</v>
      </c>
      <c r="J39" s="13">
        <v>0</v>
      </c>
      <c r="K39" s="13">
        <f>I39*AO39</f>
        <v>0</v>
      </c>
      <c r="L39" s="13">
        <f>I39*AP39</f>
        <v>0</v>
      </c>
      <c r="M39" s="13">
        <f>I39*J39</f>
        <v>0</v>
      </c>
      <c r="N39" s="13">
        <v>0</v>
      </c>
      <c r="O39" s="10" t="s">
        <v>851</v>
      </c>
      <c r="Z39" s="13">
        <f>IF(AQ39="5",BJ39,0)</f>
        <v>0</v>
      </c>
      <c r="AB39" s="13">
        <f>IF(AQ39="1",BH39,0)</f>
        <v>0</v>
      </c>
      <c r="AC39" s="13">
        <f>IF(AQ39="1",BI39,0)</f>
        <v>0</v>
      </c>
      <c r="AD39" s="13">
        <f>IF(AQ39="7",BH39,0)</f>
        <v>0</v>
      </c>
      <c r="AE39" s="13">
        <f>IF(AQ39="7",BI39,0)</f>
        <v>0</v>
      </c>
      <c r="AF39" s="13">
        <f>IF(AQ39="2",BH39,0)</f>
        <v>0</v>
      </c>
      <c r="AG39" s="13">
        <f>IF(AQ39="2",BI39,0)</f>
        <v>0</v>
      </c>
      <c r="AH39" s="13">
        <f>IF(AQ39="0",BJ39,0)</f>
        <v>0</v>
      </c>
      <c r="AI39" s="21" t="s">
        <v>1274</v>
      </c>
      <c r="AJ39" s="13">
        <f>IF(AN39=0,M39,0)</f>
        <v>0</v>
      </c>
      <c r="AK39" s="13">
        <f>IF(AN39=15,M39,0)</f>
        <v>0</v>
      </c>
      <c r="AL39" s="13">
        <f>IF(AN39=21,M39,0)</f>
        <v>0</v>
      </c>
      <c r="AN39" s="13">
        <v>21</v>
      </c>
      <c r="AO39" s="13">
        <f>J39*0</f>
        <v>0</v>
      </c>
      <c r="AP39" s="13">
        <f>J39*(1-0)</f>
        <v>0</v>
      </c>
      <c r="AQ39" s="32" t="s">
        <v>857</v>
      </c>
      <c r="AV39" s="13">
        <f>AW39+AX39</f>
        <v>0</v>
      </c>
      <c r="AW39" s="13">
        <f>I39*AO39</f>
        <v>0</v>
      </c>
      <c r="AX39" s="13">
        <f>I39*AP39</f>
        <v>0</v>
      </c>
      <c r="AY39" s="32" t="s">
        <v>1318</v>
      </c>
      <c r="AZ39" s="32" t="s">
        <v>261</v>
      </c>
      <c r="BA39" s="21" t="s">
        <v>683</v>
      </c>
      <c r="BC39" s="13">
        <f>AW39+AX39</f>
        <v>0</v>
      </c>
      <c r="BD39" s="13">
        <f>J39/(100-BE39)*100</f>
        <v>0</v>
      </c>
      <c r="BE39" s="13">
        <v>0</v>
      </c>
      <c r="BF39" s="13">
        <f>39</f>
        <v>39</v>
      </c>
      <c r="BH39" s="13">
        <f>I39*AO39</f>
        <v>0</v>
      </c>
      <c r="BI39" s="13">
        <f>I39*AP39</f>
        <v>0</v>
      </c>
      <c r="BJ39" s="13">
        <f>I39*J39</f>
        <v>0</v>
      </c>
      <c r="BK39" s="13"/>
      <c r="BL39" s="13"/>
    </row>
    <row r="40" spans="1:64" ht="15" customHeight="1">
      <c r="A40" s="11" t="s">
        <v>789</v>
      </c>
      <c r="B40" s="48" t="s">
        <v>1274</v>
      </c>
      <c r="C40" s="48" t="s">
        <v>1091</v>
      </c>
      <c r="D40" s="61" t="s">
        <v>886</v>
      </c>
      <c r="E40" s="61"/>
      <c r="F40" s="61"/>
      <c r="G40" s="61"/>
      <c r="H40" s="48" t="s">
        <v>299</v>
      </c>
      <c r="I40" s="13">
        <v>4</v>
      </c>
      <c r="J40" s="13">
        <v>0</v>
      </c>
      <c r="K40" s="13">
        <f>I40*AO40</f>
        <v>0</v>
      </c>
      <c r="L40" s="13">
        <f>I40*AP40</f>
        <v>0</v>
      </c>
      <c r="M40" s="13">
        <f>I40*J40</f>
        <v>0</v>
      </c>
      <c r="N40" s="13">
        <v>0</v>
      </c>
      <c r="O40" s="10" t="s">
        <v>851</v>
      </c>
      <c r="Z40" s="13">
        <f>IF(AQ40="5",BJ40,0)</f>
        <v>0</v>
      </c>
      <c r="AB40" s="13">
        <f>IF(AQ40="1",BH40,0)</f>
        <v>0</v>
      </c>
      <c r="AC40" s="13">
        <f>IF(AQ40="1",BI40,0)</f>
        <v>0</v>
      </c>
      <c r="AD40" s="13">
        <f>IF(AQ40="7",BH40,0)</f>
        <v>0</v>
      </c>
      <c r="AE40" s="13">
        <f>IF(AQ40="7",BI40,0)</f>
        <v>0</v>
      </c>
      <c r="AF40" s="13">
        <f>IF(AQ40="2",BH40,0)</f>
        <v>0</v>
      </c>
      <c r="AG40" s="13">
        <f>IF(AQ40="2",BI40,0)</f>
        <v>0</v>
      </c>
      <c r="AH40" s="13">
        <f>IF(AQ40="0",BJ40,0)</f>
        <v>0</v>
      </c>
      <c r="AI40" s="21" t="s">
        <v>1274</v>
      </c>
      <c r="AJ40" s="13">
        <f>IF(AN40=0,M40,0)</f>
        <v>0</v>
      </c>
      <c r="AK40" s="13">
        <f>IF(AN40=15,M40,0)</f>
        <v>0</v>
      </c>
      <c r="AL40" s="13">
        <f>IF(AN40=21,M40,0)</f>
        <v>0</v>
      </c>
      <c r="AN40" s="13">
        <v>21</v>
      </c>
      <c r="AO40" s="13">
        <f>J40*0</f>
        <v>0</v>
      </c>
      <c r="AP40" s="13">
        <f>J40*(1-0)</f>
        <v>0</v>
      </c>
      <c r="AQ40" s="32" t="s">
        <v>857</v>
      </c>
      <c r="AV40" s="13">
        <f>AW40+AX40</f>
        <v>0</v>
      </c>
      <c r="AW40" s="13">
        <f>I40*AO40</f>
        <v>0</v>
      </c>
      <c r="AX40" s="13">
        <f>I40*AP40</f>
        <v>0</v>
      </c>
      <c r="AY40" s="32" t="s">
        <v>1318</v>
      </c>
      <c r="AZ40" s="32" t="s">
        <v>261</v>
      </c>
      <c r="BA40" s="21" t="s">
        <v>683</v>
      </c>
      <c r="BC40" s="13">
        <f>AW40+AX40</f>
        <v>0</v>
      </c>
      <c r="BD40" s="13">
        <f>J40/(100-BE40)*100</f>
        <v>0</v>
      </c>
      <c r="BE40" s="13">
        <v>0</v>
      </c>
      <c r="BF40" s="13">
        <f>40</f>
        <v>40</v>
      </c>
      <c r="BH40" s="13">
        <f>I40*AO40</f>
        <v>0</v>
      </c>
      <c r="BI40" s="13">
        <f>I40*AP40</f>
        <v>0</v>
      </c>
      <c r="BJ40" s="13">
        <f>I40*J40</f>
        <v>0</v>
      </c>
      <c r="BK40" s="13"/>
      <c r="BL40" s="13"/>
    </row>
    <row r="41" spans="1:64" ht="15" customHeight="1">
      <c r="A41" s="11" t="s">
        <v>60</v>
      </c>
      <c r="B41" s="48" t="s">
        <v>1274</v>
      </c>
      <c r="C41" s="48" t="s">
        <v>1196</v>
      </c>
      <c r="D41" s="61" t="s">
        <v>1317</v>
      </c>
      <c r="E41" s="61"/>
      <c r="F41" s="61"/>
      <c r="G41" s="61"/>
      <c r="H41" s="48" t="s">
        <v>1018</v>
      </c>
      <c r="I41" s="13">
        <v>180</v>
      </c>
      <c r="J41" s="13">
        <v>0</v>
      </c>
      <c r="K41" s="13">
        <f>I41*AO41</f>
        <v>0</v>
      </c>
      <c r="L41" s="13">
        <f>I41*AP41</f>
        <v>0</v>
      </c>
      <c r="M41" s="13">
        <f>I41*J41</f>
        <v>0</v>
      </c>
      <c r="N41" s="13">
        <v>0</v>
      </c>
      <c r="O41" s="10" t="s">
        <v>851</v>
      </c>
      <c r="Z41" s="13">
        <f>IF(AQ41="5",BJ41,0)</f>
        <v>0</v>
      </c>
      <c r="AB41" s="13">
        <f>IF(AQ41="1",BH41,0)</f>
        <v>0</v>
      </c>
      <c r="AC41" s="13">
        <f>IF(AQ41="1",BI41,0)</f>
        <v>0</v>
      </c>
      <c r="AD41" s="13">
        <f>IF(AQ41="7",BH41,0)</f>
        <v>0</v>
      </c>
      <c r="AE41" s="13">
        <f>IF(AQ41="7",BI41,0)</f>
        <v>0</v>
      </c>
      <c r="AF41" s="13">
        <f>IF(AQ41="2",BH41,0)</f>
        <v>0</v>
      </c>
      <c r="AG41" s="13">
        <f>IF(AQ41="2",BI41,0)</f>
        <v>0</v>
      </c>
      <c r="AH41" s="13">
        <f>IF(AQ41="0",BJ41,0)</f>
        <v>0</v>
      </c>
      <c r="AI41" s="21" t="s">
        <v>1274</v>
      </c>
      <c r="AJ41" s="13">
        <f>IF(AN41=0,M41,0)</f>
        <v>0</v>
      </c>
      <c r="AK41" s="13">
        <f>IF(AN41=15,M41,0)</f>
        <v>0</v>
      </c>
      <c r="AL41" s="13">
        <f>IF(AN41=21,M41,0)</f>
        <v>0</v>
      </c>
      <c r="AN41" s="13">
        <v>21</v>
      </c>
      <c r="AO41" s="13">
        <f>J41*0</f>
        <v>0</v>
      </c>
      <c r="AP41" s="13">
        <f>J41*(1-0)</f>
        <v>0</v>
      </c>
      <c r="AQ41" s="32" t="s">
        <v>857</v>
      </c>
      <c r="AV41" s="13">
        <f>AW41+AX41</f>
        <v>0</v>
      </c>
      <c r="AW41" s="13">
        <f>I41*AO41</f>
        <v>0</v>
      </c>
      <c r="AX41" s="13">
        <f>I41*AP41</f>
        <v>0</v>
      </c>
      <c r="AY41" s="32" t="s">
        <v>1318</v>
      </c>
      <c r="AZ41" s="32" t="s">
        <v>261</v>
      </c>
      <c r="BA41" s="21" t="s">
        <v>683</v>
      </c>
      <c r="BC41" s="13">
        <f>AW41+AX41</f>
        <v>0</v>
      </c>
      <c r="BD41" s="13">
        <f>J41/(100-BE41)*100</f>
        <v>0</v>
      </c>
      <c r="BE41" s="13">
        <v>0</v>
      </c>
      <c r="BF41" s="13">
        <f>41</f>
        <v>41</v>
      </c>
      <c r="BH41" s="13">
        <f>I41*AO41</f>
        <v>0</v>
      </c>
      <c r="BI41" s="13">
        <f>I41*AP41</f>
        <v>0</v>
      </c>
      <c r="BJ41" s="13">
        <f>I41*J41</f>
        <v>0</v>
      </c>
      <c r="BK41" s="13"/>
      <c r="BL41" s="13"/>
    </row>
    <row r="42" spans="1:47" ht="15" customHeight="1">
      <c r="A42" s="30" t="s">
        <v>862</v>
      </c>
      <c r="B42" s="18" t="s">
        <v>1274</v>
      </c>
      <c r="C42" s="18" t="s">
        <v>862</v>
      </c>
      <c r="D42" s="73" t="s">
        <v>88</v>
      </c>
      <c r="E42" s="73"/>
      <c r="F42" s="73"/>
      <c r="G42" s="73"/>
      <c r="H42" s="15" t="s">
        <v>1148</v>
      </c>
      <c r="I42" s="15" t="s">
        <v>1148</v>
      </c>
      <c r="J42" s="15" t="s">
        <v>1148</v>
      </c>
      <c r="K42" s="56">
        <f>SUM(K43:K48)</f>
        <v>0</v>
      </c>
      <c r="L42" s="56">
        <f>SUM(L43:L48)</f>
        <v>0</v>
      </c>
      <c r="M42" s="56">
        <f>SUM(M43:M48)</f>
        <v>0</v>
      </c>
      <c r="N42" s="21" t="s">
        <v>862</v>
      </c>
      <c r="O42" s="47" t="s">
        <v>862</v>
      </c>
      <c r="AI42" s="21" t="s">
        <v>1274</v>
      </c>
      <c r="AS42" s="56">
        <f>SUM(AJ43:AJ48)</f>
        <v>0</v>
      </c>
      <c r="AT42" s="56">
        <f>SUM(AK43:AK48)</f>
        <v>0</v>
      </c>
      <c r="AU42" s="56">
        <f>SUM(AL43:AL48)</f>
        <v>0</v>
      </c>
    </row>
    <row r="43" spans="1:64" ht="15" customHeight="1">
      <c r="A43" s="11" t="s">
        <v>879</v>
      </c>
      <c r="B43" s="48" t="s">
        <v>1274</v>
      </c>
      <c r="C43" s="48" t="s">
        <v>319</v>
      </c>
      <c r="D43" s="61" t="s">
        <v>29</v>
      </c>
      <c r="E43" s="61"/>
      <c r="F43" s="61"/>
      <c r="G43" s="61"/>
      <c r="H43" s="48" t="s">
        <v>299</v>
      </c>
      <c r="I43" s="13">
        <v>3</v>
      </c>
      <c r="J43" s="13">
        <v>0</v>
      </c>
      <c r="K43" s="13">
        <f>I43*AO43</f>
        <v>0</v>
      </c>
      <c r="L43" s="13">
        <f>I43*AP43</f>
        <v>0</v>
      </c>
      <c r="M43" s="13">
        <f>I43*J43</f>
        <v>0</v>
      </c>
      <c r="N43" s="13">
        <v>0.05</v>
      </c>
      <c r="O43" s="10" t="s">
        <v>851</v>
      </c>
      <c r="Z43" s="13">
        <f>IF(AQ43="5",BJ43,0)</f>
        <v>0</v>
      </c>
      <c r="AB43" s="13">
        <f>IF(AQ43="1",BH43,0)</f>
        <v>0</v>
      </c>
      <c r="AC43" s="13">
        <f>IF(AQ43="1",BI43,0)</f>
        <v>0</v>
      </c>
      <c r="AD43" s="13">
        <f>IF(AQ43="7",BH43,0)</f>
        <v>0</v>
      </c>
      <c r="AE43" s="13">
        <f>IF(AQ43="7",BI43,0)</f>
        <v>0</v>
      </c>
      <c r="AF43" s="13">
        <f>IF(AQ43="2",BH43,0)</f>
        <v>0</v>
      </c>
      <c r="AG43" s="13">
        <f>IF(AQ43="2",BI43,0)</f>
        <v>0</v>
      </c>
      <c r="AH43" s="13">
        <f>IF(AQ43="0",BJ43,0)</f>
        <v>0</v>
      </c>
      <c r="AI43" s="21" t="s">
        <v>1274</v>
      </c>
      <c r="AJ43" s="13">
        <f>IF(AN43=0,M43,0)</f>
        <v>0</v>
      </c>
      <c r="AK43" s="13">
        <f>IF(AN43=15,M43,0)</f>
        <v>0</v>
      </c>
      <c r="AL43" s="13">
        <f>IF(AN43=21,M43,0)</f>
        <v>0</v>
      </c>
      <c r="AN43" s="13">
        <v>21</v>
      </c>
      <c r="AO43" s="13">
        <f>J43*1</f>
        <v>0</v>
      </c>
      <c r="AP43" s="13">
        <f>J43*(1-1)</f>
        <v>0</v>
      </c>
      <c r="AQ43" s="32" t="s">
        <v>645</v>
      </c>
      <c r="AV43" s="13">
        <f>AW43+AX43</f>
        <v>0</v>
      </c>
      <c r="AW43" s="13">
        <f>I43*AO43</f>
        <v>0</v>
      </c>
      <c r="AX43" s="13">
        <f>I43*AP43</f>
        <v>0</v>
      </c>
      <c r="AY43" s="32" t="s">
        <v>255</v>
      </c>
      <c r="AZ43" s="32" t="s">
        <v>531</v>
      </c>
      <c r="BA43" s="21" t="s">
        <v>683</v>
      </c>
      <c r="BC43" s="13">
        <f>AW43+AX43</f>
        <v>0</v>
      </c>
      <c r="BD43" s="13">
        <f>J43/(100-BE43)*100</f>
        <v>0</v>
      </c>
      <c r="BE43" s="13">
        <v>0</v>
      </c>
      <c r="BF43" s="13">
        <f>43</f>
        <v>43</v>
      </c>
      <c r="BH43" s="13">
        <f>I43*AO43</f>
        <v>0</v>
      </c>
      <c r="BI43" s="13">
        <f>I43*AP43</f>
        <v>0</v>
      </c>
      <c r="BJ43" s="13">
        <f>I43*J43</f>
        <v>0</v>
      </c>
      <c r="BK43" s="13"/>
      <c r="BL43" s="13"/>
    </row>
    <row r="44" spans="1:15" ht="135" customHeight="1">
      <c r="A44" s="39"/>
      <c r="C44" s="7" t="s">
        <v>106</v>
      </c>
      <c r="D44" s="74" t="s">
        <v>1076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</row>
    <row r="45" spans="1:64" ht="15" customHeight="1">
      <c r="A45" s="11" t="s">
        <v>1186</v>
      </c>
      <c r="B45" s="48" t="s">
        <v>1274</v>
      </c>
      <c r="C45" s="48" t="s">
        <v>197</v>
      </c>
      <c r="D45" s="61" t="s">
        <v>502</v>
      </c>
      <c r="E45" s="61"/>
      <c r="F45" s="61"/>
      <c r="G45" s="61"/>
      <c r="H45" s="48" t="s">
        <v>1172</v>
      </c>
      <c r="I45" s="13">
        <v>51</v>
      </c>
      <c r="J45" s="13">
        <v>0</v>
      </c>
      <c r="K45" s="13">
        <f>I45*AO45</f>
        <v>0</v>
      </c>
      <c r="L45" s="13">
        <f>I45*AP45</f>
        <v>0</v>
      </c>
      <c r="M45" s="13">
        <f>I45*J45</f>
        <v>0</v>
      </c>
      <c r="N45" s="13">
        <v>0.001</v>
      </c>
      <c r="O45" s="10" t="s">
        <v>851</v>
      </c>
      <c r="Z45" s="13">
        <f>IF(AQ45="5",BJ45,0)</f>
        <v>0</v>
      </c>
      <c r="AB45" s="13">
        <f>IF(AQ45="1",BH45,0)</f>
        <v>0</v>
      </c>
      <c r="AC45" s="13">
        <f>IF(AQ45="1",BI45,0)</f>
        <v>0</v>
      </c>
      <c r="AD45" s="13">
        <f>IF(AQ45="7",BH45,0)</f>
        <v>0</v>
      </c>
      <c r="AE45" s="13">
        <f>IF(AQ45="7",BI45,0)</f>
        <v>0</v>
      </c>
      <c r="AF45" s="13">
        <f>IF(AQ45="2",BH45,0)</f>
        <v>0</v>
      </c>
      <c r="AG45" s="13">
        <f>IF(AQ45="2",BI45,0)</f>
        <v>0</v>
      </c>
      <c r="AH45" s="13">
        <f>IF(AQ45="0",BJ45,0)</f>
        <v>0</v>
      </c>
      <c r="AI45" s="21" t="s">
        <v>1274</v>
      </c>
      <c r="AJ45" s="13">
        <f>IF(AN45=0,M45,0)</f>
        <v>0</v>
      </c>
      <c r="AK45" s="13">
        <f>IF(AN45=15,M45,0)</f>
        <v>0</v>
      </c>
      <c r="AL45" s="13">
        <f>IF(AN45=21,M45,0)</f>
        <v>0</v>
      </c>
      <c r="AN45" s="13">
        <v>21</v>
      </c>
      <c r="AO45" s="13">
        <f>J45*1</f>
        <v>0</v>
      </c>
      <c r="AP45" s="13">
        <f>J45*(1-1)</f>
        <v>0</v>
      </c>
      <c r="AQ45" s="32" t="s">
        <v>645</v>
      </c>
      <c r="AV45" s="13">
        <f>AW45+AX45</f>
        <v>0</v>
      </c>
      <c r="AW45" s="13">
        <f>I45*AO45</f>
        <v>0</v>
      </c>
      <c r="AX45" s="13">
        <f>I45*AP45</f>
        <v>0</v>
      </c>
      <c r="AY45" s="32" t="s">
        <v>255</v>
      </c>
      <c r="AZ45" s="32" t="s">
        <v>531</v>
      </c>
      <c r="BA45" s="21" t="s">
        <v>683</v>
      </c>
      <c r="BC45" s="13">
        <f>AW45+AX45</f>
        <v>0</v>
      </c>
      <c r="BD45" s="13">
        <f>J45/(100-BE45)*100</f>
        <v>0</v>
      </c>
      <c r="BE45" s="13">
        <v>0</v>
      </c>
      <c r="BF45" s="13">
        <f>45</f>
        <v>45</v>
      </c>
      <c r="BH45" s="13">
        <f>I45*AO45</f>
        <v>0</v>
      </c>
      <c r="BI45" s="13">
        <f>I45*AP45</f>
        <v>0</v>
      </c>
      <c r="BJ45" s="13">
        <f>I45*J45</f>
        <v>0</v>
      </c>
      <c r="BK45" s="13"/>
      <c r="BL45" s="13"/>
    </row>
    <row r="46" spans="1:64" ht="15" customHeight="1">
      <c r="A46" s="11" t="s">
        <v>536</v>
      </c>
      <c r="B46" s="48" t="s">
        <v>1274</v>
      </c>
      <c r="C46" s="48" t="s">
        <v>704</v>
      </c>
      <c r="D46" s="61" t="s">
        <v>524</v>
      </c>
      <c r="E46" s="61"/>
      <c r="F46" s="61"/>
      <c r="G46" s="61"/>
      <c r="H46" s="48" t="s">
        <v>1195</v>
      </c>
      <c r="I46" s="13">
        <v>12</v>
      </c>
      <c r="J46" s="13">
        <v>0</v>
      </c>
      <c r="K46" s="13">
        <f>I46*AO46</f>
        <v>0</v>
      </c>
      <c r="L46" s="13">
        <f>I46*AP46</f>
        <v>0</v>
      </c>
      <c r="M46" s="13">
        <f>I46*J46</f>
        <v>0</v>
      </c>
      <c r="N46" s="13">
        <v>2.5</v>
      </c>
      <c r="O46" s="10" t="s">
        <v>851</v>
      </c>
      <c r="Z46" s="13">
        <f>IF(AQ46="5",BJ46,0)</f>
        <v>0</v>
      </c>
      <c r="AB46" s="13">
        <f>IF(AQ46="1",BH46,0)</f>
        <v>0</v>
      </c>
      <c r="AC46" s="13">
        <f>IF(AQ46="1",BI46,0)</f>
        <v>0</v>
      </c>
      <c r="AD46" s="13">
        <f>IF(AQ46="7",BH46,0)</f>
        <v>0</v>
      </c>
      <c r="AE46" s="13">
        <f>IF(AQ46="7",BI46,0)</f>
        <v>0</v>
      </c>
      <c r="AF46" s="13">
        <f>IF(AQ46="2",BH46,0)</f>
        <v>0</v>
      </c>
      <c r="AG46" s="13">
        <f>IF(AQ46="2",BI46,0)</f>
        <v>0</v>
      </c>
      <c r="AH46" s="13">
        <f>IF(AQ46="0",BJ46,0)</f>
        <v>0</v>
      </c>
      <c r="AI46" s="21" t="s">
        <v>1274</v>
      </c>
      <c r="AJ46" s="13">
        <f>IF(AN46=0,M46,0)</f>
        <v>0</v>
      </c>
      <c r="AK46" s="13">
        <f>IF(AN46=15,M46,0)</f>
        <v>0</v>
      </c>
      <c r="AL46" s="13">
        <f>IF(AN46=21,M46,0)</f>
        <v>0</v>
      </c>
      <c r="AN46" s="13">
        <v>21</v>
      </c>
      <c r="AO46" s="13">
        <f>J46*1</f>
        <v>0</v>
      </c>
      <c r="AP46" s="13">
        <f>J46*(1-1)</f>
        <v>0</v>
      </c>
      <c r="AQ46" s="32" t="s">
        <v>645</v>
      </c>
      <c r="AV46" s="13">
        <f>AW46+AX46</f>
        <v>0</v>
      </c>
      <c r="AW46" s="13">
        <f>I46*AO46</f>
        <v>0</v>
      </c>
      <c r="AX46" s="13">
        <f>I46*AP46</f>
        <v>0</v>
      </c>
      <c r="AY46" s="32" t="s">
        <v>255</v>
      </c>
      <c r="AZ46" s="32" t="s">
        <v>531</v>
      </c>
      <c r="BA46" s="21" t="s">
        <v>683</v>
      </c>
      <c r="BC46" s="13">
        <f>AW46+AX46</f>
        <v>0</v>
      </c>
      <c r="BD46" s="13">
        <f>J46/(100-BE46)*100</f>
        <v>0</v>
      </c>
      <c r="BE46" s="13">
        <v>0</v>
      </c>
      <c r="BF46" s="13">
        <f>46</f>
        <v>46</v>
      </c>
      <c r="BH46" s="13">
        <f>I46*AO46</f>
        <v>0</v>
      </c>
      <c r="BI46" s="13">
        <f>I46*AP46</f>
        <v>0</v>
      </c>
      <c r="BJ46" s="13">
        <f>I46*J46</f>
        <v>0</v>
      </c>
      <c r="BK46" s="13"/>
      <c r="BL46" s="13"/>
    </row>
    <row r="47" spans="1:64" ht="15" customHeight="1">
      <c r="A47" s="11" t="s">
        <v>120</v>
      </c>
      <c r="B47" s="48" t="s">
        <v>1274</v>
      </c>
      <c r="C47" s="48" t="s">
        <v>162</v>
      </c>
      <c r="D47" s="61" t="s">
        <v>1344</v>
      </c>
      <c r="E47" s="61"/>
      <c r="F47" s="61"/>
      <c r="G47" s="61"/>
      <c r="H47" s="48" t="s">
        <v>1018</v>
      </c>
      <c r="I47" s="13">
        <v>235</v>
      </c>
      <c r="J47" s="13">
        <v>0</v>
      </c>
      <c r="K47" s="13">
        <f>I47*AO47</f>
        <v>0</v>
      </c>
      <c r="L47" s="13">
        <f>I47*AP47</f>
        <v>0</v>
      </c>
      <c r="M47" s="13">
        <f>I47*J47</f>
        <v>0</v>
      </c>
      <c r="N47" s="13">
        <v>6E-05</v>
      </c>
      <c r="O47" s="10" t="s">
        <v>851</v>
      </c>
      <c r="Z47" s="13">
        <f>IF(AQ47="5",BJ47,0)</f>
        <v>0</v>
      </c>
      <c r="AB47" s="13">
        <f>IF(AQ47="1",BH47,0)</f>
        <v>0</v>
      </c>
      <c r="AC47" s="13">
        <f>IF(AQ47="1",BI47,0)</f>
        <v>0</v>
      </c>
      <c r="AD47" s="13">
        <f>IF(AQ47="7",BH47,0)</f>
        <v>0</v>
      </c>
      <c r="AE47" s="13">
        <f>IF(AQ47="7",BI47,0)</f>
        <v>0</v>
      </c>
      <c r="AF47" s="13">
        <f>IF(AQ47="2",BH47,0)</f>
        <v>0</v>
      </c>
      <c r="AG47" s="13">
        <f>IF(AQ47="2",BI47,0)</f>
        <v>0</v>
      </c>
      <c r="AH47" s="13">
        <f>IF(AQ47="0",BJ47,0)</f>
        <v>0</v>
      </c>
      <c r="AI47" s="21" t="s">
        <v>1274</v>
      </c>
      <c r="AJ47" s="13">
        <f>IF(AN47=0,M47,0)</f>
        <v>0</v>
      </c>
      <c r="AK47" s="13">
        <f>IF(AN47=15,M47,0)</f>
        <v>0</v>
      </c>
      <c r="AL47" s="13">
        <f>IF(AN47=21,M47,0)</f>
        <v>0</v>
      </c>
      <c r="AN47" s="13">
        <v>21</v>
      </c>
      <c r="AO47" s="13">
        <f>J47*1</f>
        <v>0</v>
      </c>
      <c r="AP47" s="13">
        <f>J47*(1-1)</f>
        <v>0</v>
      </c>
      <c r="AQ47" s="32" t="s">
        <v>645</v>
      </c>
      <c r="AV47" s="13">
        <f>AW47+AX47</f>
        <v>0</v>
      </c>
      <c r="AW47" s="13">
        <f>I47*AO47</f>
        <v>0</v>
      </c>
      <c r="AX47" s="13">
        <f>I47*AP47</f>
        <v>0</v>
      </c>
      <c r="AY47" s="32" t="s">
        <v>255</v>
      </c>
      <c r="AZ47" s="32" t="s">
        <v>531</v>
      </c>
      <c r="BA47" s="21" t="s">
        <v>683</v>
      </c>
      <c r="BC47" s="13">
        <f>AW47+AX47</f>
        <v>0</v>
      </c>
      <c r="BD47" s="13">
        <f>J47/(100-BE47)*100</f>
        <v>0</v>
      </c>
      <c r="BE47" s="13">
        <v>0</v>
      </c>
      <c r="BF47" s="13">
        <f>47</f>
        <v>47</v>
      </c>
      <c r="BH47" s="13">
        <f>I47*AO47</f>
        <v>0</v>
      </c>
      <c r="BI47" s="13">
        <f>I47*AP47</f>
        <v>0</v>
      </c>
      <c r="BJ47" s="13">
        <f>I47*J47</f>
        <v>0</v>
      </c>
      <c r="BK47" s="13"/>
      <c r="BL47" s="13"/>
    </row>
    <row r="48" spans="1:64" ht="15" customHeight="1">
      <c r="A48" s="11" t="s">
        <v>296</v>
      </c>
      <c r="B48" s="48" t="s">
        <v>1274</v>
      </c>
      <c r="C48" s="48" t="s">
        <v>1164</v>
      </c>
      <c r="D48" s="61" t="s">
        <v>657</v>
      </c>
      <c r="E48" s="61"/>
      <c r="F48" s="61"/>
      <c r="G48" s="61"/>
      <c r="H48" s="48" t="s">
        <v>1018</v>
      </c>
      <c r="I48" s="13">
        <v>235</v>
      </c>
      <c r="J48" s="13">
        <v>0</v>
      </c>
      <c r="K48" s="13">
        <f>I48*AO48</f>
        <v>0</v>
      </c>
      <c r="L48" s="13">
        <f>I48*AP48</f>
        <v>0</v>
      </c>
      <c r="M48" s="13">
        <f>I48*J48</f>
        <v>0</v>
      </c>
      <c r="N48" s="13">
        <v>0.00071</v>
      </c>
      <c r="O48" s="10" t="s">
        <v>851</v>
      </c>
      <c r="Z48" s="13">
        <f>IF(AQ48="5",BJ48,0)</f>
        <v>0</v>
      </c>
      <c r="AB48" s="13">
        <f>IF(AQ48="1",BH48,0)</f>
        <v>0</v>
      </c>
      <c r="AC48" s="13">
        <f>IF(AQ48="1",BI48,0)</f>
        <v>0</v>
      </c>
      <c r="AD48" s="13">
        <f>IF(AQ48="7",BH48,0)</f>
        <v>0</v>
      </c>
      <c r="AE48" s="13">
        <f>IF(AQ48="7",BI48,0)</f>
        <v>0</v>
      </c>
      <c r="AF48" s="13">
        <f>IF(AQ48="2",BH48,0)</f>
        <v>0</v>
      </c>
      <c r="AG48" s="13">
        <f>IF(AQ48="2",BI48,0)</f>
        <v>0</v>
      </c>
      <c r="AH48" s="13">
        <f>IF(AQ48="0",BJ48,0)</f>
        <v>0</v>
      </c>
      <c r="AI48" s="21" t="s">
        <v>1274</v>
      </c>
      <c r="AJ48" s="13">
        <f>IF(AN48=0,M48,0)</f>
        <v>0</v>
      </c>
      <c r="AK48" s="13">
        <f>IF(AN48=15,M48,0)</f>
        <v>0</v>
      </c>
      <c r="AL48" s="13">
        <f>IF(AN48=21,M48,0)</f>
        <v>0</v>
      </c>
      <c r="AN48" s="13">
        <v>21</v>
      </c>
      <c r="AO48" s="13">
        <f>J48*1</f>
        <v>0</v>
      </c>
      <c r="AP48" s="13">
        <f>J48*(1-1)</f>
        <v>0</v>
      </c>
      <c r="AQ48" s="32" t="s">
        <v>645</v>
      </c>
      <c r="AV48" s="13">
        <f>AW48+AX48</f>
        <v>0</v>
      </c>
      <c r="AW48" s="13">
        <f>I48*AO48</f>
        <v>0</v>
      </c>
      <c r="AX48" s="13">
        <f>I48*AP48</f>
        <v>0</v>
      </c>
      <c r="AY48" s="32" t="s">
        <v>255</v>
      </c>
      <c r="AZ48" s="32" t="s">
        <v>531</v>
      </c>
      <c r="BA48" s="21" t="s">
        <v>683</v>
      </c>
      <c r="BC48" s="13">
        <f>AW48+AX48</f>
        <v>0</v>
      </c>
      <c r="BD48" s="13">
        <f>J48/(100-BE48)*100</f>
        <v>0</v>
      </c>
      <c r="BE48" s="13">
        <v>0</v>
      </c>
      <c r="BF48" s="13">
        <f>48</f>
        <v>48</v>
      </c>
      <c r="BH48" s="13">
        <f>I48*AO48</f>
        <v>0</v>
      </c>
      <c r="BI48" s="13">
        <f>I48*AP48</f>
        <v>0</v>
      </c>
      <c r="BJ48" s="13">
        <f>I48*J48</f>
        <v>0</v>
      </c>
      <c r="BK48" s="13"/>
      <c r="BL48" s="13"/>
    </row>
    <row r="49" spans="1:35" ht="15" customHeight="1">
      <c r="A49" s="30" t="s">
        <v>862</v>
      </c>
      <c r="B49" s="18" t="s">
        <v>1274</v>
      </c>
      <c r="C49" s="18" t="s">
        <v>862</v>
      </c>
      <c r="D49" s="73" t="s">
        <v>734</v>
      </c>
      <c r="E49" s="73"/>
      <c r="F49" s="73"/>
      <c r="G49" s="73"/>
      <c r="H49" s="15" t="s">
        <v>1148</v>
      </c>
      <c r="I49" s="15" t="s">
        <v>1148</v>
      </c>
      <c r="J49" s="15" t="s">
        <v>1148</v>
      </c>
      <c r="K49" s="56">
        <f>K50+K52+K54+K59</f>
        <v>0</v>
      </c>
      <c r="L49" s="56">
        <f>L50+L52+L54+L59</f>
        <v>0</v>
      </c>
      <c r="M49" s="56">
        <f>M50+M52+M54+M59</f>
        <v>0</v>
      </c>
      <c r="N49" s="21" t="s">
        <v>862</v>
      </c>
      <c r="O49" s="47" t="s">
        <v>862</v>
      </c>
      <c r="AI49" s="21" t="s">
        <v>1274</v>
      </c>
    </row>
    <row r="50" spans="1:47" ht="15" customHeight="1">
      <c r="A50" s="30" t="s">
        <v>862</v>
      </c>
      <c r="B50" s="18" t="s">
        <v>1274</v>
      </c>
      <c r="C50" s="18" t="s">
        <v>918</v>
      </c>
      <c r="D50" s="73" t="s">
        <v>569</v>
      </c>
      <c r="E50" s="73"/>
      <c r="F50" s="73"/>
      <c r="G50" s="73"/>
      <c r="H50" s="15" t="s">
        <v>1148</v>
      </c>
      <c r="I50" s="15" t="s">
        <v>1148</v>
      </c>
      <c r="J50" s="15" t="s">
        <v>1148</v>
      </c>
      <c r="K50" s="56">
        <f>SUM(K51:K51)</f>
        <v>0</v>
      </c>
      <c r="L50" s="56">
        <f>SUM(L51:L51)</f>
        <v>0</v>
      </c>
      <c r="M50" s="56">
        <f>SUM(M51:M51)</f>
        <v>0</v>
      </c>
      <c r="N50" s="21" t="s">
        <v>862</v>
      </c>
      <c r="O50" s="47" t="s">
        <v>862</v>
      </c>
      <c r="AI50" s="21" t="s">
        <v>1274</v>
      </c>
      <c r="AS50" s="56">
        <f>SUM(AJ51:AJ51)</f>
        <v>0</v>
      </c>
      <c r="AT50" s="56">
        <f>SUM(AK51:AK51)</f>
        <v>0</v>
      </c>
      <c r="AU50" s="56">
        <f>SUM(AL51:AL51)</f>
        <v>0</v>
      </c>
    </row>
    <row r="51" spans="1:65" ht="15" customHeight="1">
      <c r="A51" s="11" t="s">
        <v>155</v>
      </c>
      <c r="B51" s="48" t="s">
        <v>1274</v>
      </c>
      <c r="C51" s="48" t="s">
        <v>573</v>
      </c>
      <c r="D51" s="61" t="s">
        <v>952</v>
      </c>
      <c r="E51" s="61"/>
      <c r="F51" s="61"/>
      <c r="G51" s="61"/>
      <c r="H51" s="48" t="s">
        <v>835</v>
      </c>
      <c r="I51" s="13">
        <v>1</v>
      </c>
      <c r="J51" s="13">
        <v>0</v>
      </c>
      <c r="K51" s="13">
        <f>I51*AO51</f>
        <v>0</v>
      </c>
      <c r="L51" s="13">
        <f>I51*AP51</f>
        <v>0</v>
      </c>
      <c r="M51" s="13">
        <f>I51*J51</f>
        <v>0</v>
      </c>
      <c r="N51" s="13">
        <v>0</v>
      </c>
      <c r="O51" s="10" t="s">
        <v>851</v>
      </c>
      <c r="Z51" s="13">
        <f>IF(AQ51="5",BJ51,0)</f>
        <v>0</v>
      </c>
      <c r="AB51" s="13">
        <f>IF(AQ51="1",BH51,0)</f>
        <v>0</v>
      </c>
      <c r="AC51" s="13">
        <f>IF(AQ51="1",BI51,0)</f>
        <v>0</v>
      </c>
      <c r="AD51" s="13">
        <f>IF(AQ51="7",BH51,0)</f>
        <v>0</v>
      </c>
      <c r="AE51" s="13">
        <f>IF(AQ51="7",BI51,0)</f>
        <v>0</v>
      </c>
      <c r="AF51" s="13">
        <f>IF(AQ51="2",BH51,0)</f>
        <v>0</v>
      </c>
      <c r="AG51" s="13">
        <f>IF(AQ51="2",BI51,0)</f>
        <v>0</v>
      </c>
      <c r="AH51" s="13">
        <f>IF(AQ51="0",BJ51,0)</f>
        <v>0</v>
      </c>
      <c r="AI51" s="21" t="s">
        <v>1274</v>
      </c>
      <c r="AJ51" s="13">
        <f>IF(AN51=0,M51,0)</f>
        <v>0</v>
      </c>
      <c r="AK51" s="13">
        <f>IF(AN51=15,M51,0)</f>
        <v>0</v>
      </c>
      <c r="AL51" s="13">
        <f>IF(AN51=21,M51,0)</f>
        <v>0</v>
      </c>
      <c r="AN51" s="13">
        <v>21</v>
      </c>
      <c r="AO51" s="13">
        <f>J51*0</f>
        <v>0</v>
      </c>
      <c r="AP51" s="13">
        <f>J51*(1-0)</f>
        <v>0</v>
      </c>
      <c r="AQ51" s="32" t="s">
        <v>566</v>
      </c>
      <c r="AV51" s="13">
        <f>AW51+AX51</f>
        <v>0</v>
      </c>
      <c r="AW51" s="13">
        <f>I51*AO51</f>
        <v>0</v>
      </c>
      <c r="AX51" s="13">
        <f>I51*AP51</f>
        <v>0</v>
      </c>
      <c r="AY51" s="32" t="s">
        <v>582</v>
      </c>
      <c r="AZ51" s="32" t="s">
        <v>188</v>
      </c>
      <c r="BA51" s="21" t="s">
        <v>683</v>
      </c>
      <c r="BC51" s="13">
        <f>AW51+AX51</f>
        <v>0</v>
      </c>
      <c r="BD51" s="13">
        <f>J51/(100-BE51)*100</f>
        <v>0</v>
      </c>
      <c r="BE51" s="13">
        <v>0</v>
      </c>
      <c r="BF51" s="13">
        <f>51</f>
        <v>51</v>
      </c>
      <c r="BH51" s="13">
        <f>I51*AO51</f>
        <v>0</v>
      </c>
      <c r="BI51" s="13">
        <f>I51*AP51</f>
        <v>0</v>
      </c>
      <c r="BJ51" s="13">
        <f>I51*J51</f>
        <v>0</v>
      </c>
      <c r="BK51" s="13"/>
      <c r="BL51" s="13"/>
      <c r="BM51" s="13">
        <f>I51*J51</f>
        <v>0</v>
      </c>
    </row>
    <row r="52" spans="1:47" ht="15" customHeight="1">
      <c r="A52" s="30" t="s">
        <v>862</v>
      </c>
      <c r="B52" s="18" t="s">
        <v>1274</v>
      </c>
      <c r="C52" s="18" t="s">
        <v>61</v>
      </c>
      <c r="D52" s="73" t="s">
        <v>126</v>
      </c>
      <c r="E52" s="73"/>
      <c r="F52" s="73"/>
      <c r="G52" s="73"/>
      <c r="H52" s="15" t="s">
        <v>1148</v>
      </c>
      <c r="I52" s="15" t="s">
        <v>1148</v>
      </c>
      <c r="J52" s="15" t="s">
        <v>1148</v>
      </c>
      <c r="K52" s="56">
        <f>SUM(K53:K53)</f>
        <v>0</v>
      </c>
      <c r="L52" s="56">
        <f>SUM(L53:L53)</f>
        <v>0</v>
      </c>
      <c r="M52" s="56">
        <f>SUM(M53:M53)</f>
        <v>0</v>
      </c>
      <c r="N52" s="21" t="s">
        <v>862</v>
      </c>
      <c r="O52" s="47" t="s">
        <v>862</v>
      </c>
      <c r="AI52" s="21" t="s">
        <v>1274</v>
      </c>
      <c r="AS52" s="56">
        <f>SUM(AJ53:AJ53)</f>
        <v>0</v>
      </c>
      <c r="AT52" s="56">
        <f>SUM(AK53:AK53)</f>
        <v>0</v>
      </c>
      <c r="AU52" s="56">
        <f>SUM(AL53:AL53)</f>
        <v>0</v>
      </c>
    </row>
    <row r="53" spans="1:67" ht="15" customHeight="1">
      <c r="A53" s="11" t="s">
        <v>1211</v>
      </c>
      <c r="B53" s="48" t="s">
        <v>1274</v>
      </c>
      <c r="C53" s="48" t="s">
        <v>823</v>
      </c>
      <c r="D53" s="61" t="s">
        <v>126</v>
      </c>
      <c r="E53" s="61"/>
      <c r="F53" s="61"/>
      <c r="G53" s="61"/>
      <c r="H53" s="48" t="s">
        <v>835</v>
      </c>
      <c r="I53" s="13">
        <v>1</v>
      </c>
      <c r="J53" s="13">
        <v>0</v>
      </c>
      <c r="K53" s="13">
        <f>I53*AO53</f>
        <v>0</v>
      </c>
      <c r="L53" s="13">
        <f>I53*AP53</f>
        <v>0</v>
      </c>
      <c r="M53" s="13">
        <f>I53*J53</f>
        <v>0</v>
      </c>
      <c r="N53" s="13">
        <v>0</v>
      </c>
      <c r="O53" s="10" t="s">
        <v>851</v>
      </c>
      <c r="Z53" s="13">
        <f>IF(AQ53="5",BJ53,0)</f>
        <v>0</v>
      </c>
      <c r="AB53" s="13">
        <f>IF(AQ53="1",BH53,0)</f>
        <v>0</v>
      </c>
      <c r="AC53" s="13">
        <f>IF(AQ53="1",BI53,0)</f>
        <v>0</v>
      </c>
      <c r="AD53" s="13">
        <f>IF(AQ53="7",BH53,0)</f>
        <v>0</v>
      </c>
      <c r="AE53" s="13">
        <f>IF(AQ53="7",BI53,0)</f>
        <v>0</v>
      </c>
      <c r="AF53" s="13">
        <f>IF(AQ53="2",BH53,0)</f>
        <v>0</v>
      </c>
      <c r="AG53" s="13">
        <f>IF(AQ53="2",BI53,0)</f>
        <v>0</v>
      </c>
      <c r="AH53" s="13">
        <f>IF(AQ53="0",BJ53,0)</f>
        <v>0</v>
      </c>
      <c r="AI53" s="21" t="s">
        <v>1274</v>
      </c>
      <c r="AJ53" s="13">
        <f>IF(AN53=0,M53,0)</f>
        <v>0</v>
      </c>
      <c r="AK53" s="13">
        <f>IF(AN53=15,M53,0)</f>
        <v>0</v>
      </c>
      <c r="AL53" s="13">
        <f>IF(AN53=21,M53,0)</f>
        <v>0</v>
      </c>
      <c r="AN53" s="13">
        <v>21</v>
      </c>
      <c r="AO53" s="13">
        <f>J53*0</f>
        <v>0</v>
      </c>
      <c r="AP53" s="13">
        <f>J53*(1-0)</f>
        <v>0</v>
      </c>
      <c r="AQ53" s="32" t="s">
        <v>566</v>
      </c>
      <c r="AV53" s="13">
        <f>AW53+AX53</f>
        <v>0</v>
      </c>
      <c r="AW53" s="13">
        <f>I53*AO53</f>
        <v>0</v>
      </c>
      <c r="AX53" s="13">
        <f>I53*AP53</f>
        <v>0</v>
      </c>
      <c r="AY53" s="32" t="s">
        <v>278</v>
      </c>
      <c r="AZ53" s="32" t="s">
        <v>188</v>
      </c>
      <c r="BA53" s="21" t="s">
        <v>683</v>
      </c>
      <c r="BC53" s="13">
        <f>AW53+AX53</f>
        <v>0</v>
      </c>
      <c r="BD53" s="13">
        <f>J53/(100-BE53)*100</f>
        <v>0</v>
      </c>
      <c r="BE53" s="13">
        <v>0</v>
      </c>
      <c r="BF53" s="13">
        <f>53</f>
        <v>53</v>
      </c>
      <c r="BH53" s="13">
        <f>I53*AO53</f>
        <v>0</v>
      </c>
      <c r="BI53" s="13">
        <f>I53*AP53</f>
        <v>0</v>
      </c>
      <c r="BJ53" s="13">
        <f>I53*J53</f>
        <v>0</v>
      </c>
      <c r="BK53" s="13"/>
      <c r="BL53" s="13"/>
      <c r="BO53" s="13">
        <f>I53*J53</f>
        <v>0</v>
      </c>
    </row>
    <row r="54" spans="1:47" ht="15" customHeight="1">
      <c r="A54" s="30" t="s">
        <v>862</v>
      </c>
      <c r="B54" s="18" t="s">
        <v>1274</v>
      </c>
      <c r="C54" s="18" t="s">
        <v>397</v>
      </c>
      <c r="D54" s="73" t="s">
        <v>1021</v>
      </c>
      <c r="E54" s="73"/>
      <c r="F54" s="73"/>
      <c r="G54" s="73"/>
      <c r="H54" s="15" t="s">
        <v>1148</v>
      </c>
      <c r="I54" s="15" t="s">
        <v>1148</v>
      </c>
      <c r="J54" s="15" t="s">
        <v>1148</v>
      </c>
      <c r="K54" s="56">
        <f>SUM(K55:K57)</f>
        <v>0</v>
      </c>
      <c r="L54" s="56">
        <f>SUM(L55:L57)</f>
        <v>0</v>
      </c>
      <c r="M54" s="56">
        <f>SUM(M55:M57)</f>
        <v>0</v>
      </c>
      <c r="N54" s="21" t="s">
        <v>862</v>
      </c>
      <c r="O54" s="47" t="s">
        <v>862</v>
      </c>
      <c r="AI54" s="21" t="s">
        <v>1274</v>
      </c>
      <c r="AS54" s="56">
        <f>SUM(AJ55:AJ57)</f>
        <v>0</v>
      </c>
      <c r="AT54" s="56">
        <f>SUM(AK55:AK57)</f>
        <v>0</v>
      </c>
      <c r="AU54" s="56">
        <f>SUM(AL55:AL57)</f>
        <v>0</v>
      </c>
    </row>
    <row r="55" spans="1:68" ht="15" customHeight="1">
      <c r="A55" s="11" t="s">
        <v>1341</v>
      </c>
      <c r="B55" s="48" t="s">
        <v>1274</v>
      </c>
      <c r="C55" s="48" t="s">
        <v>328</v>
      </c>
      <c r="D55" s="61" t="s">
        <v>779</v>
      </c>
      <c r="E55" s="61"/>
      <c r="F55" s="61"/>
      <c r="G55" s="61"/>
      <c r="H55" s="48" t="s">
        <v>835</v>
      </c>
      <c r="I55" s="13">
        <v>1</v>
      </c>
      <c r="J55" s="13">
        <v>0</v>
      </c>
      <c r="K55" s="13">
        <f>I55*AO55</f>
        <v>0</v>
      </c>
      <c r="L55" s="13">
        <f>I55*AP55</f>
        <v>0</v>
      </c>
      <c r="M55" s="13">
        <f>I55*J55</f>
        <v>0</v>
      </c>
      <c r="N55" s="13">
        <v>0</v>
      </c>
      <c r="O55" s="10" t="s">
        <v>851</v>
      </c>
      <c r="Z55" s="13">
        <f>IF(AQ55="5",BJ55,0)</f>
        <v>0</v>
      </c>
      <c r="AB55" s="13">
        <f>IF(AQ55="1",BH55,0)</f>
        <v>0</v>
      </c>
      <c r="AC55" s="13">
        <f>IF(AQ55="1",BI55,0)</f>
        <v>0</v>
      </c>
      <c r="AD55" s="13">
        <f>IF(AQ55="7",BH55,0)</f>
        <v>0</v>
      </c>
      <c r="AE55" s="13">
        <f>IF(AQ55="7",BI55,0)</f>
        <v>0</v>
      </c>
      <c r="AF55" s="13">
        <f>IF(AQ55="2",BH55,0)</f>
        <v>0</v>
      </c>
      <c r="AG55" s="13">
        <f>IF(AQ55="2",BI55,0)</f>
        <v>0</v>
      </c>
      <c r="AH55" s="13">
        <f>IF(AQ55="0",BJ55,0)</f>
        <v>0</v>
      </c>
      <c r="AI55" s="21" t="s">
        <v>1274</v>
      </c>
      <c r="AJ55" s="13">
        <f>IF(AN55=0,M55,0)</f>
        <v>0</v>
      </c>
      <c r="AK55" s="13">
        <f>IF(AN55=15,M55,0)</f>
        <v>0</v>
      </c>
      <c r="AL55" s="13">
        <f>IF(AN55=21,M55,0)</f>
        <v>0</v>
      </c>
      <c r="AN55" s="13">
        <v>21</v>
      </c>
      <c r="AO55" s="13">
        <f>J55*0</f>
        <v>0</v>
      </c>
      <c r="AP55" s="13">
        <f>J55*(1-0)</f>
        <v>0</v>
      </c>
      <c r="AQ55" s="32" t="s">
        <v>566</v>
      </c>
      <c r="AV55" s="13">
        <f>AW55+AX55</f>
        <v>0</v>
      </c>
      <c r="AW55" s="13">
        <f>I55*AO55</f>
        <v>0</v>
      </c>
      <c r="AX55" s="13">
        <f>I55*AP55</f>
        <v>0</v>
      </c>
      <c r="AY55" s="32" t="s">
        <v>1027</v>
      </c>
      <c r="AZ55" s="32" t="s">
        <v>188</v>
      </c>
      <c r="BA55" s="21" t="s">
        <v>683</v>
      </c>
      <c r="BC55" s="13">
        <f>AW55+AX55</f>
        <v>0</v>
      </c>
      <c r="BD55" s="13">
        <f>J55/(100-BE55)*100</f>
        <v>0</v>
      </c>
      <c r="BE55" s="13">
        <v>0</v>
      </c>
      <c r="BF55" s="13">
        <f>55</f>
        <v>55</v>
      </c>
      <c r="BH55" s="13">
        <f>I55*AO55</f>
        <v>0</v>
      </c>
      <c r="BI55" s="13">
        <f>I55*AP55</f>
        <v>0</v>
      </c>
      <c r="BJ55" s="13">
        <f>I55*J55</f>
        <v>0</v>
      </c>
      <c r="BK55" s="13"/>
      <c r="BL55" s="13"/>
      <c r="BP55" s="13">
        <f>I55*J55</f>
        <v>0</v>
      </c>
    </row>
    <row r="56" spans="1:68" ht="15" customHeight="1">
      <c r="A56" s="11" t="s">
        <v>92</v>
      </c>
      <c r="B56" s="48" t="s">
        <v>1274</v>
      </c>
      <c r="C56" s="48" t="s">
        <v>787</v>
      </c>
      <c r="D56" s="61" t="s">
        <v>1021</v>
      </c>
      <c r="E56" s="61"/>
      <c r="F56" s="61"/>
      <c r="G56" s="61"/>
      <c r="H56" s="48" t="s">
        <v>835</v>
      </c>
      <c r="I56" s="13">
        <v>1</v>
      </c>
      <c r="J56" s="13">
        <v>0</v>
      </c>
      <c r="K56" s="13">
        <f>I56*AO56</f>
        <v>0</v>
      </c>
      <c r="L56" s="13">
        <f>I56*AP56</f>
        <v>0</v>
      </c>
      <c r="M56" s="13">
        <f>I56*J56</f>
        <v>0</v>
      </c>
      <c r="N56" s="13">
        <v>0</v>
      </c>
      <c r="O56" s="10" t="s">
        <v>851</v>
      </c>
      <c r="Z56" s="13">
        <f>IF(AQ56="5",BJ56,0)</f>
        <v>0</v>
      </c>
      <c r="AB56" s="13">
        <f>IF(AQ56="1",BH56,0)</f>
        <v>0</v>
      </c>
      <c r="AC56" s="13">
        <f>IF(AQ56="1",BI56,0)</f>
        <v>0</v>
      </c>
      <c r="AD56" s="13">
        <f>IF(AQ56="7",BH56,0)</f>
        <v>0</v>
      </c>
      <c r="AE56" s="13">
        <f>IF(AQ56="7",BI56,0)</f>
        <v>0</v>
      </c>
      <c r="AF56" s="13">
        <f>IF(AQ56="2",BH56,0)</f>
        <v>0</v>
      </c>
      <c r="AG56" s="13">
        <f>IF(AQ56="2",BI56,0)</f>
        <v>0</v>
      </c>
      <c r="AH56" s="13">
        <f>IF(AQ56="0",BJ56,0)</f>
        <v>0</v>
      </c>
      <c r="AI56" s="21" t="s">
        <v>1274</v>
      </c>
      <c r="AJ56" s="13">
        <f>IF(AN56=0,M56,0)</f>
        <v>0</v>
      </c>
      <c r="AK56" s="13">
        <f>IF(AN56=15,M56,0)</f>
        <v>0</v>
      </c>
      <c r="AL56" s="13">
        <f>IF(AN56=21,M56,0)</f>
        <v>0</v>
      </c>
      <c r="AN56" s="13">
        <v>21</v>
      </c>
      <c r="AO56" s="13">
        <f>J56*0</f>
        <v>0</v>
      </c>
      <c r="AP56" s="13">
        <f>J56*(1-0)</f>
        <v>0</v>
      </c>
      <c r="AQ56" s="32" t="s">
        <v>566</v>
      </c>
      <c r="AV56" s="13">
        <f>AW56+AX56</f>
        <v>0</v>
      </c>
      <c r="AW56" s="13">
        <f>I56*AO56</f>
        <v>0</v>
      </c>
      <c r="AX56" s="13">
        <f>I56*AP56</f>
        <v>0</v>
      </c>
      <c r="AY56" s="32" t="s">
        <v>1027</v>
      </c>
      <c r="AZ56" s="32" t="s">
        <v>188</v>
      </c>
      <c r="BA56" s="21" t="s">
        <v>683</v>
      </c>
      <c r="BC56" s="13">
        <f>AW56+AX56</f>
        <v>0</v>
      </c>
      <c r="BD56" s="13">
        <f>J56/(100-BE56)*100</f>
        <v>0</v>
      </c>
      <c r="BE56" s="13">
        <v>0</v>
      </c>
      <c r="BF56" s="13">
        <f>56</f>
        <v>56</v>
      </c>
      <c r="BH56" s="13">
        <f>I56*AO56</f>
        <v>0</v>
      </c>
      <c r="BI56" s="13">
        <f>I56*AP56</f>
        <v>0</v>
      </c>
      <c r="BJ56" s="13">
        <f>I56*J56</f>
        <v>0</v>
      </c>
      <c r="BK56" s="13"/>
      <c r="BL56" s="13"/>
      <c r="BP56" s="13">
        <f>I56*J56</f>
        <v>0</v>
      </c>
    </row>
    <row r="57" spans="1:68" ht="15" customHeight="1">
      <c r="A57" s="11" t="s">
        <v>802</v>
      </c>
      <c r="B57" s="48" t="s">
        <v>1274</v>
      </c>
      <c r="C57" s="48" t="s">
        <v>840</v>
      </c>
      <c r="D57" s="61" t="s">
        <v>220</v>
      </c>
      <c r="E57" s="61"/>
      <c r="F57" s="61"/>
      <c r="G57" s="61"/>
      <c r="H57" s="48" t="s">
        <v>835</v>
      </c>
      <c r="I57" s="13">
        <v>3</v>
      </c>
      <c r="J57" s="13">
        <v>0</v>
      </c>
      <c r="K57" s="13">
        <f>I57*AO57</f>
        <v>0</v>
      </c>
      <c r="L57" s="13">
        <f>I57*AP57</f>
        <v>0</v>
      </c>
      <c r="M57" s="13">
        <f>I57*J57</f>
        <v>0</v>
      </c>
      <c r="N57" s="13">
        <v>0</v>
      </c>
      <c r="O57" s="10" t="s">
        <v>851</v>
      </c>
      <c r="Z57" s="13">
        <f>IF(AQ57="5",BJ57,0)</f>
        <v>0</v>
      </c>
      <c r="AB57" s="13">
        <f>IF(AQ57="1",BH57,0)</f>
        <v>0</v>
      </c>
      <c r="AC57" s="13">
        <f>IF(AQ57="1",BI57,0)</f>
        <v>0</v>
      </c>
      <c r="AD57" s="13">
        <f>IF(AQ57="7",BH57,0)</f>
        <v>0</v>
      </c>
      <c r="AE57" s="13">
        <f>IF(AQ57="7",BI57,0)</f>
        <v>0</v>
      </c>
      <c r="AF57" s="13">
        <f>IF(AQ57="2",BH57,0)</f>
        <v>0</v>
      </c>
      <c r="AG57" s="13">
        <f>IF(AQ57="2",BI57,0)</f>
        <v>0</v>
      </c>
      <c r="AH57" s="13">
        <f>IF(AQ57="0",BJ57,0)</f>
        <v>0</v>
      </c>
      <c r="AI57" s="21" t="s">
        <v>1274</v>
      </c>
      <c r="AJ57" s="13">
        <f>IF(AN57=0,M57,0)</f>
        <v>0</v>
      </c>
      <c r="AK57" s="13">
        <f>IF(AN57=15,M57,0)</f>
        <v>0</v>
      </c>
      <c r="AL57" s="13">
        <f>IF(AN57=21,M57,0)</f>
        <v>0</v>
      </c>
      <c r="AN57" s="13">
        <v>21</v>
      </c>
      <c r="AO57" s="13">
        <f>J57*0</f>
        <v>0</v>
      </c>
      <c r="AP57" s="13">
        <f>J57*(1-0)</f>
        <v>0</v>
      </c>
      <c r="AQ57" s="32" t="s">
        <v>566</v>
      </c>
      <c r="AV57" s="13">
        <f>AW57+AX57</f>
        <v>0</v>
      </c>
      <c r="AW57" s="13">
        <f>I57*AO57</f>
        <v>0</v>
      </c>
      <c r="AX57" s="13">
        <f>I57*AP57</f>
        <v>0</v>
      </c>
      <c r="AY57" s="32" t="s">
        <v>1027</v>
      </c>
      <c r="AZ57" s="32" t="s">
        <v>188</v>
      </c>
      <c r="BA57" s="21" t="s">
        <v>683</v>
      </c>
      <c r="BC57" s="13">
        <f>AW57+AX57</f>
        <v>0</v>
      </c>
      <c r="BD57" s="13">
        <f>J57/(100-BE57)*100</f>
        <v>0</v>
      </c>
      <c r="BE57" s="13">
        <v>0</v>
      </c>
      <c r="BF57" s="13">
        <f>57</f>
        <v>57</v>
      </c>
      <c r="BH57" s="13">
        <f>I57*AO57</f>
        <v>0</v>
      </c>
      <c r="BI57" s="13">
        <f>I57*AP57</f>
        <v>0</v>
      </c>
      <c r="BJ57" s="13">
        <f>I57*J57</f>
        <v>0</v>
      </c>
      <c r="BK57" s="13"/>
      <c r="BL57" s="13"/>
      <c r="BP57" s="13">
        <f>I57*J57</f>
        <v>0</v>
      </c>
    </row>
    <row r="58" spans="1:15" ht="13.5" customHeight="1">
      <c r="A58" s="39"/>
      <c r="C58" s="7" t="s">
        <v>106</v>
      </c>
      <c r="D58" s="74" t="s">
        <v>171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6"/>
    </row>
    <row r="59" spans="1:47" ht="15" customHeight="1">
      <c r="A59" s="30" t="s">
        <v>862</v>
      </c>
      <c r="B59" s="18" t="s">
        <v>1274</v>
      </c>
      <c r="C59" s="18" t="s">
        <v>914</v>
      </c>
      <c r="D59" s="73" t="s">
        <v>651</v>
      </c>
      <c r="E59" s="73"/>
      <c r="F59" s="73"/>
      <c r="G59" s="73"/>
      <c r="H59" s="15" t="s">
        <v>1148</v>
      </c>
      <c r="I59" s="15" t="s">
        <v>1148</v>
      </c>
      <c r="J59" s="15" t="s">
        <v>1148</v>
      </c>
      <c r="K59" s="56">
        <f>SUM(K60:K60)</f>
        <v>0</v>
      </c>
      <c r="L59" s="56">
        <f>SUM(L60:L60)</f>
        <v>0</v>
      </c>
      <c r="M59" s="56">
        <f>SUM(M60:M60)</f>
        <v>0</v>
      </c>
      <c r="N59" s="21" t="s">
        <v>862</v>
      </c>
      <c r="O59" s="47" t="s">
        <v>862</v>
      </c>
      <c r="AI59" s="21" t="s">
        <v>1274</v>
      </c>
      <c r="AS59" s="56">
        <f>SUM(AJ60:AJ60)</f>
        <v>0</v>
      </c>
      <c r="AT59" s="56">
        <f>SUM(AK60:AK60)</f>
        <v>0</v>
      </c>
      <c r="AU59" s="56">
        <f>SUM(AL60:AL60)</f>
        <v>0</v>
      </c>
    </row>
    <row r="60" spans="1:71" ht="15" customHeight="1">
      <c r="A60" s="11" t="s">
        <v>735</v>
      </c>
      <c r="B60" s="48" t="s">
        <v>1274</v>
      </c>
      <c r="C60" s="48" t="s">
        <v>1184</v>
      </c>
      <c r="D60" s="61" t="s">
        <v>710</v>
      </c>
      <c r="E60" s="61"/>
      <c r="F60" s="61"/>
      <c r="G60" s="61"/>
      <c r="H60" s="48" t="s">
        <v>835</v>
      </c>
      <c r="I60" s="13">
        <v>1</v>
      </c>
      <c r="J60" s="13">
        <v>0</v>
      </c>
      <c r="K60" s="13">
        <f>I60*AO60</f>
        <v>0</v>
      </c>
      <c r="L60" s="13">
        <f>I60*AP60</f>
        <v>0</v>
      </c>
      <c r="M60" s="13">
        <f>I60*J60</f>
        <v>0</v>
      </c>
      <c r="N60" s="13">
        <v>0</v>
      </c>
      <c r="O60" s="10" t="s">
        <v>851</v>
      </c>
      <c r="Z60" s="13">
        <f>IF(AQ60="5",BJ60,0)</f>
        <v>0</v>
      </c>
      <c r="AB60" s="13">
        <f>IF(AQ60="1",BH60,0)</f>
        <v>0</v>
      </c>
      <c r="AC60" s="13">
        <f>IF(AQ60="1",BI60,0)</f>
        <v>0</v>
      </c>
      <c r="AD60" s="13">
        <f>IF(AQ60="7",BH60,0)</f>
        <v>0</v>
      </c>
      <c r="AE60" s="13">
        <f>IF(AQ60="7",BI60,0)</f>
        <v>0</v>
      </c>
      <c r="AF60" s="13">
        <f>IF(AQ60="2",BH60,0)</f>
        <v>0</v>
      </c>
      <c r="AG60" s="13">
        <f>IF(AQ60="2",BI60,0)</f>
        <v>0</v>
      </c>
      <c r="AH60" s="13">
        <f>IF(AQ60="0",BJ60,0)</f>
        <v>0</v>
      </c>
      <c r="AI60" s="21" t="s">
        <v>1274</v>
      </c>
      <c r="AJ60" s="13">
        <f>IF(AN60=0,M60,0)</f>
        <v>0</v>
      </c>
      <c r="AK60" s="13">
        <f>IF(AN60=15,M60,0)</f>
        <v>0</v>
      </c>
      <c r="AL60" s="13">
        <f>IF(AN60=21,M60,0)</f>
        <v>0</v>
      </c>
      <c r="AN60" s="13">
        <v>21</v>
      </c>
      <c r="AO60" s="13">
        <f>J60*0</f>
        <v>0</v>
      </c>
      <c r="AP60" s="13">
        <f>J60*(1-0)</f>
        <v>0</v>
      </c>
      <c r="AQ60" s="32" t="s">
        <v>566</v>
      </c>
      <c r="AV60" s="13">
        <f>AW60+AX60</f>
        <v>0</v>
      </c>
      <c r="AW60" s="13">
        <f>I60*AO60</f>
        <v>0</v>
      </c>
      <c r="AX60" s="13">
        <f>I60*AP60</f>
        <v>0</v>
      </c>
      <c r="AY60" s="32" t="s">
        <v>1207</v>
      </c>
      <c r="AZ60" s="32" t="s">
        <v>188</v>
      </c>
      <c r="BA60" s="21" t="s">
        <v>683</v>
      </c>
      <c r="BC60" s="13">
        <f>AW60+AX60</f>
        <v>0</v>
      </c>
      <c r="BD60" s="13">
        <f>J60/(100-BE60)*100</f>
        <v>0</v>
      </c>
      <c r="BE60" s="13">
        <v>0</v>
      </c>
      <c r="BF60" s="13">
        <f>60</f>
        <v>60</v>
      </c>
      <c r="BH60" s="13">
        <f>I60*AO60</f>
        <v>0</v>
      </c>
      <c r="BI60" s="13">
        <f>I60*AP60</f>
        <v>0</v>
      </c>
      <c r="BJ60" s="13">
        <f>I60*J60</f>
        <v>0</v>
      </c>
      <c r="BK60" s="13"/>
      <c r="BL60" s="13"/>
      <c r="BS60" s="13">
        <f>I60*J60</f>
        <v>0</v>
      </c>
    </row>
    <row r="61" spans="1:15" ht="15" customHeight="1">
      <c r="A61" s="30" t="s">
        <v>862</v>
      </c>
      <c r="B61" s="18" t="s">
        <v>1385</v>
      </c>
      <c r="C61" s="18" t="s">
        <v>862</v>
      </c>
      <c r="D61" s="73" t="s">
        <v>1131</v>
      </c>
      <c r="E61" s="73"/>
      <c r="F61" s="73"/>
      <c r="G61" s="73"/>
      <c r="H61" s="15" t="s">
        <v>1148</v>
      </c>
      <c r="I61" s="15" t="s">
        <v>1148</v>
      </c>
      <c r="J61" s="15" t="s">
        <v>1148</v>
      </c>
      <c r="K61" s="56">
        <f>K62+K64+K66+K70+K72+K76+K80</f>
        <v>0</v>
      </c>
      <c r="L61" s="56">
        <f>L62+L64+L66+L70+L72+L76+L80</f>
        <v>0</v>
      </c>
      <c r="M61" s="56">
        <f>M62+M64+M66+M70+M72+M76+M80</f>
        <v>0</v>
      </c>
      <c r="N61" s="21" t="s">
        <v>862</v>
      </c>
      <c r="O61" s="47" t="s">
        <v>862</v>
      </c>
    </row>
    <row r="62" spans="1:47" ht="15" customHeight="1">
      <c r="A62" s="30" t="s">
        <v>862</v>
      </c>
      <c r="B62" s="18" t="s">
        <v>1385</v>
      </c>
      <c r="C62" s="18" t="s">
        <v>1031</v>
      </c>
      <c r="D62" s="73" t="s">
        <v>675</v>
      </c>
      <c r="E62" s="73"/>
      <c r="F62" s="73"/>
      <c r="G62" s="73"/>
      <c r="H62" s="15" t="s">
        <v>1148</v>
      </c>
      <c r="I62" s="15" t="s">
        <v>1148</v>
      </c>
      <c r="J62" s="15" t="s">
        <v>1148</v>
      </c>
      <c r="K62" s="56">
        <f>SUM(K63:K63)</f>
        <v>0</v>
      </c>
      <c r="L62" s="56">
        <f>SUM(L63:L63)</f>
        <v>0</v>
      </c>
      <c r="M62" s="56">
        <f>SUM(M63:M63)</f>
        <v>0</v>
      </c>
      <c r="N62" s="21" t="s">
        <v>862</v>
      </c>
      <c r="O62" s="47" t="s">
        <v>862</v>
      </c>
      <c r="AI62" s="21" t="s">
        <v>1385</v>
      </c>
      <c r="AS62" s="56">
        <f>SUM(AJ63:AJ63)</f>
        <v>0</v>
      </c>
      <c r="AT62" s="56">
        <f>SUM(AK63:AK63)</f>
        <v>0</v>
      </c>
      <c r="AU62" s="56">
        <f>SUM(AL63:AL63)</f>
        <v>0</v>
      </c>
    </row>
    <row r="63" spans="1:64" ht="15" customHeight="1">
      <c r="A63" s="11" t="s">
        <v>1037</v>
      </c>
      <c r="B63" s="48" t="s">
        <v>1385</v>
      </c>
      <c r="C63" s="48" t="s">
        <v>504</v>
      </c>
      <c r="D63" s="61" t="s">
        <v>811</v>
      </c>
      <c r="E63" s="61"/>
      <c r="F63" s="61"/>
      <c r="G63" s="61"/>
      <c r="H63" s="48" t="s">
        <v>1216</v>
      </c>
      <c r="I63" s="13">
        <v>2985</v>
      </c>
      <c r="J63" s="13">
        <v>0</v>
      </c>
      <c r="K63" s="13">
        <f>I63*AO63</f>
        <v>0</v>
      </c>
      <c r="L63" s="13">
        <f>I63*AP63</f>
        <v>0</v>
      </c>
      <c r="M63" s="13">
        <f>I63*J63</f>
        <v>0</v>
      </c>
      <c r="N63" s="13">
        <v>0</v>
      </c>
      <c r="O63" s="10" t="s">
        <v>851</v>
      </c>
      <c r="Z63" s="13">
        <f>IF(AQ63="5",BJ63,0)</f>
        <v>0</v>
      </c>
      <c r="AB63" s="13">
        <f>IF(AQ63="1",BH63,0)</f>
        <v>0</v>
      </c>
      <c r="AC63" s="13">
        <f>IF(AQ63="1",BI63,0)</f>
        <v>0</v>
      </c>
      <c r="AD63" s="13">
        <f>IF(AQ63="7",BH63,0)</f>
        <v>0</v>
      </c>
      <c r="AE63" s="13">
        <f>IF(AQ63="7",BI63,0)</f>
        <v>0</v>
      </c>
      <c r="AF63" s="13">
        <f>IF(AQ63="2",BH63,0)</f>
        <v>0</v>
      </c>
      <c r="AG63" s="13">
        <f>IF(AQ63="2",BI63,0)</f>
        <v>0</v>
      </c>
      <c r="AH63" s="13">
        <f>IF(AQ63="0",BJ63,0)</f>
        <v>0</v>
      </c>
      <c r="AI63" s="21" t="s">
        <v>1385</v>
      </c>
      <c r="AJ63" s="13">
        <f>IF(AN63=0,M63,0)</f>
        <v>0</v>
      </c>
      <c r="AK63" s="13">
        <f>IF(AN63=15,M63,0)</f>
        <v>0</v>
      </c>
      <c r="AL63" s="13">
        <f>IF(AN63=21,M63,0)</f>
        <v>0</v>
      </c>
      <c r="AN63" s="13">
        <v>21</v>
      </c>
      <c r="AO63" s="13">
        <f>J63*0.0219207592209834</f>
        <v>0</v>
      </c>
      <c r="AP63" s="13">
        <f>J63*(1-0.0219207592209834)</f>
        <v>0</v>
      </c>
      <c r="AQ63" s="32" t="s">
        <v>1231</v>
      </c>
      <c r="AV63" s="13">
        <f>AW63+AX63</f>
        <v>0</v>
      </c>
      <c r="AW63" s="13">
        <f>I63*AO63</f>
        <v>0</v>
      </c>
      <c r="AX63" s="13">
        <f>I63*AP63</f>
        <v>0</v>
      </c>
      <c r="AY63" s="32" t="s">
        <v>133</v>
      </c>
      <c r="AZ63" s="32" t="s">
        <v>1130</v>
      </c>
      <c r="BA63" s="21" t="s">
        <v>1134</v>
      </c>
      <c r="BC63" s="13">
        <f>AW63+AX63</f>
        <v>0</v>
      </c>
      <c r="BD63" s="13">
        <f>J63/(100-BE63)*100</f>
        <v>0</v>
      </c>
      <c r="BE63" s="13">
        <v>0</v>
      </c>
      <c r="BF63" s="13">
        <f>63</f>
        <v>63</v>
      </c>
      <c r="BH63" s="13">
        <f>I63*AO63</f>
        <v>0</v>
      </c>
      <c r="BI63" s="13">
        <f>I63*AP63</f>
        <v>0</v>
      </c>
      <c r="BJ63" s="13">
        <f>I63*J63</f>
        <v>0</v>
      </c>
      <c r="BK63" s="13"/>
      <c r="BL63" s="13">
        <v>11</v>
      </c>
    </row>
    <row r="64" spans="1:47" ht="15" customHeight="1">
      <c r="A64" s="30" t="s">
        <v>862</v>
      </c>
      <c r="B64" s="18" t="s">
        <v>1385</v>
      </c>
      <c r="C64" s="18" t="s">
        <v>993</v>
      </c>
      <c r="D64" s="73" t="s">
        <v>1249</v>
      </c>
      <c r="E64" s="73"/>
      <c r="F64" s="73"/>
      <c r="G64" s="73"/>
      <c r="H64" s="15" t="s">
        <v>1148</v>
      </c>
      <c r="I64" s="15" t="s">
        <v>1148</v>
      </c>
      <c r="J64" s="15" t="s">
        <v>1148</v>
      </c>
      <c r="K64" s="56">
        <f>SUM(K65:K65)</f>
        <v>0</v>
      </c>
      <c r="L64" s="56">
        <f>SUM(L65:L65)</f>
        <v>0</v>
      </c>
      <c r="M64" s="56">
        <f>SUM(M65:M65)</f>
        <v>0</v>
      </c>
      <c r="N64" s="21" t="s">
        <v>862</v>
      </c>
      <c r="O64" s="47" t="s">
        <v>862</v>
      </c>
      <c r="AI64" s="21" t="s">
        <v>1385</v>
      </c>
      <c r="AS64" s="56">
        <f>SUM(AJ65:AJ65)</f>
        <v>0</v>
      </c>
      <c r="AT64" s="56">
        <f>SUM(AK65:AK65)</f>
        <v>0</v>
      </c>
      <c r="AU64" s="56">
        <f>SUM(AL65:AL65)</f>
        <v>0</v>
      </c>
    </row>
    <row r="65" spans="1:64" ht="15" customHeight="1">
      <c r="A65" s="11" t="s">
        <v>257</v>
      </c>
      <c r="B65" s="48" t="s">
        <v>1385</v>
      </c>
      <c r="C65" s="48" t="s">
        <v>936</v>
      </c>
      <c r="D65" s="61" t="s">
        <v>761</v>
      </c>
      <c r="E65" s="61"/>
      <c r="F65" s="61"/>
      <c r="G65" s="61"/>
      <c r="H65" s="48" t="s">
        <v>1216</v>
      </c>
      <c r="I65" s="13">
        <v>3020</v>
      </c>
      <c r="J65" s="13">
        <v>0</v>
      </c>
      <c r="K65" s="13">
        <f>I65*AO65</f>
        <v>0</v>
      </c>
      <c r="L65" s="13">
        <f>I65*AP65</f>
        <v>0</v>
      </c>
      <c r="M65" s="13">
        <f>I65*J65</f>
        <v>0</v>
      </c>
      <c r="N65" s="13">
        <v>0</v>
      </c>
      <c r="O65" s="10" t="s">
        <v>851</v>
      </c>
      <c r="Z65" s="13">
        <f>IF(AQ65="5",BJ65,0)</f>
        <v>0</v>
      </c>
      <c r="AB65" s="13">
        <f>IF(AQ65="1",BH65,0)</f>
        <v>0</v>
      </c>
      <c r="AC65" s="13">
        <f>IF(AQ65="1",BI65,0)</f>
        <v>0</v>
      </c>
      <c r="AD65" s="13">
        <f>IF(AQ65="7",BH65,0)</f>
        <v>0</v>
      </c>
      <c r="AE65" s="13">
        <f>IF(AQ65="7",BI65,0)</f>
        <v>0</v>
      </c>
      <c r="AF65" s="13">
        <f>IF(AQ65="2",BH65,0)</f>
        <v>0</v>
      </c>
      <c r="AG65" s="13">
        <f>IF(AQ65="2",BI65,0)</f>
        <v>0</v>
      </c>
      <c r="AH65" s="13">
        <f>IF(AQ65="0",BJ65,0)</f>
        <v>0</v>
      </c>
      <c r="AI65" s="21" t="s">
        <v>1385</v>
      </c>
      <c r="AJ65" s="13">
        <f>IF(AN65=0,M65,0)</f>
        <v>0</v>
      </c>
      <c r="AK65" s="13">
        <f>IF(AN65=15,M65,0)</f>
        <v>0</v>
      </c>
      <c r="AL65" s="13">
        <f>IF(AN65=21,M65,0)</f>
        <v>0</v>
      </c>
      <c r="AN65" s="13">
        <v>21</v>
      </c>
      <c r="AO65" s="13">
        <f>J65*0</f>
        <v>0</v>
      </c>
      <c r="AP65" s="13">
        <f>J65*(1-0)</f>
        <v>0</v>
      </c>
      <c r="AQ65" s="32" t="s">
        <v>1231</v>
      </c>
      <c r="AV65" s="13">
        <f>AW65+AX65</f>
        <v>0</v>
      </c>
      <c r="AW65" s="13">
        <f>I65*AO65</f>
        <v>0</v>
      </c>
      <c r="AX65" s="13">
        <f>I65*AP65</f>
        <v>0</v>
      </c>
      <c r="AY65" s="32" t="s">
        <v>603</v>
      </c>
      <c r="AZ65" s="32" t="s">
        <v>1130</v>
      </c>
      <c r="BA65" s="21" t="s">
        <v>1134</v>
      </c>
      <c r="BC65" s="13">
        <f>AW65+AX65</f>
        <v>0</v>
      </c>
      <c r="BD65" s="13">
        <f>J65/(100-BE65)*100</f>
        <v>0</v>
      </c>
      <c r="BE65" s="13">
        <v>0</v>
      </c>
      <c r="BF65" s="13">
        <f>65</f>
        <v>65</v>
      </c>
      <c r="BH65" s="13">
        <f>I65*AO65</f>
        <v>0</v>
      </c>
      <c r="BI65" s="13">
        <f>I65*AP65</f>
        <v>0</v>
      </c>
      <c r="BJ65" s="13">
        <f>I65*J65</f>
        <v>0</v>
      </c>
      <c r="BK65" s="13"/>
      <c r="BL65" s="13">
        <v>18</v>
      </c>
    </row>
    <row r="66" spans="1:47" ht="15" customHeight="1">
      <c r="A66" s="30" t="s">
        <v>862</v>
      </c>
      <c r="B66" s="18" t="s">
        <v>1385</v>
      </c>
      <c r="C66" s="18" t="s">
        <v>879</v>
      </c>
      <c r="D66" s="73" t="s">
        <v>416</v>
      </c>
      <c r="E66" s="73"/>
      <c r="F66" s="73"/>
      <c r="G66" s="73"/>
      <c r="H66" s="15" t="s">
        <v>1148</v>
      </c>
      <c r="I66" s="15" t="s">
        <v>1148</v>
      </c>
      <c r="J66" s="15" t="s">
        <v>1148</v>
      </c>
      <c r="K66" s="56">
        <f>SUM(K67:K68)</f>
        <v>0</v>
      </c>
      <c r="L66" s="56">
        <f>SUM(L67:L68)</f>
        <v>0</v>
      </c>
      <c r="M66" s="56">
        <f>SUM(M67:M68)</f>
        <v>0</v>
      </c>
      <c r="N66" s="21" t="s">
        <v>862</v>
      </c>
      <c r="O66" s="47" t="s">
        <v>862</v>
      </c>
      <c r="AI66" s="21" t="s">
        <v>1385</v>
      </c>
      <c r="AS66" s="56">
        <f>SUM(AJ67:AJ68)</f>
        <v>0</v>
      </c>
      <c r="AT66" s="56">
        <f>SUM(AK67:AK68)</f>
        <v>0</v>
      </c>
      <c r="AU66" s="56">
        <f>SUM(AL67:AL68)</f>
        <v>0</v>
      </c>
    </row>
    <row r="67" spans="1:64" ht="15" customHeight="1">
      <c r="A67" s="11" t="s">
        <v>1369</v>
      </c>
      <c r="B67" s="48" t="s">
        <v>1385</v>
      </c>
      <c r="C67" s="48" t="s">
        <v>711</v>
      </c>
      <c r="D67" s="61" t="s">
        <v>727</v>
      </c>
      <c r="E67" s="61"/>
      <c r="F67" s="61"/>
      <c r="G67" s="61"/>
      <c r="H67" s="48" t="s">
        <v>1216</v>
      </c>
      <c r="I67" s="13">
        <v>3020</v>
      </c>
      <c r="J67" s="13">
        <v>0</v>
      </c>
      <c r="K67" s="13">
        <f>I67*AO67</f>
        <v>0</v>
      </c>
      <c r="L67" s="13">
        <f>I67*AP67</f>
        <v>0</v>
      </c>
      <c r="M67" s="13">
        <f>I67*J67</f>
        <v>0</v>
      </c>
      <c r="N67" s="13">
        <v>0</v>
      </c>
      <c r="O67" s="10" t="s">
        <v>851</v>
      </c>
      <c r="Z67" s="13">
        <f>IF(AQ67="5",BJ67,0)</f>
        <v>0</v>
      </c>
      <c r="AB67" s="13">
        <f>IF(AQ67="1",BH67,0)</f>
        <v>0</v>
      </c>
      <c r="AC67" s="13">
        <f>IF(AQ67="1",BI67,0)</f>
        <v>0</v>
      </c>
      <c r="AD67" s="13">
        <f>IF(AQ67="7",BH67,0)</f>
        <v>0</v>
      </c>
      <c r="AE67" s="13">
        <f>IF(AQ67="7",BI67,0)</f>
        <v>0</v>
      </c>
      <c r="AF67" s="13">
        <f>IF(AQ67="2",BH67,0)</f>
        <v>0</v>
      </c>
      <c r="AG67" s="13">
        <f>IF(AQ67="2",BI67,0)</f>
        <v>0</v>
      </c>
      <c r="AH67" s="13">
        <f>IF(AQ67="0",BJ67,0)</f>
        <v>0</v>
      </c>
      <c r="AI67" s="21" t="s">
        <v>1385</v>
      </c>
      <c r="AJ67" s="13">
        <f>IF(AN67=0,M67,0)</f>
        <v>0</v>
      </c>
      <c r="AK67" s="13">
        <f>IF(AN67=15,M67,0)</f>
        <v>0</v>
      </c>
      <c r="AL67" s="13">
        <f>IF(AN67=21,M67,0)</f>
        <v>0</v>
      </c>
      <c r="AN67" s="13">
        <v>21</v>
      </c>
      <c r="AO67" s="13">
        <f>J67*0</f>
        <v>0</v>
      </c>
      <c r="AP67" s="13">
        <f>J67*(1-0)</f>
        <v>0</v>
      </c>
      <c r="AQ67" s="32" t="s">
        <v>1231</v>
      </c>
      <c r="AV67" s="13">
        <f>AW67+AX67</f>
        <v>0</v>
      </c>
      <c r="AW67" s="13">
        <f>I67*AO67</f>
        <v>0</v>
      </c>
      <c r="AX67" s="13">
        <f>I67*AP67</f>
        <v>0</v>
      </c>
      <c r="AY67" s="32" t="s">
        <v>762</v>
      </c>
      <c r="AZ67" s="32" t="s">
        <v>492</v>
      </c>
      <c r="BA67" s="21" t="s">
        <v>1134</v>
      </c>
      <c r="BC67" s="13">
        <f>AW67+AX67</f>
        <v>0</v>
      </c>
      <c r="BD67" s="13">
        <f>J67/(100-BE67)*100</f>
        <v>0</v>
      </c>
      <c r="BE67" s="13">
        <v>0</v>
      </c>
      <c r="BF67" s="13">
        <f>67</f>
        <v>67</v>
      </c>
      <c r="BH67" s="13">
        <f>I67*AO67</f>
        <v>0</v>
      </c>
      <c r="BI67" s="13">
        <f>I67*AP67</f>
        <v>0</v>
      </c>
      <c r="BJ67" s="13">
        <f>I67*J67</f>
        <v>0</v>
      </c>
      <c r="BK67" s="13"/>
      <c r="BL67" s="13">
        <v>21</v>
      </c>
    </row>
    <row r="68" spans="1:64" ht="15" customHeight="1">
      <c r="A68" s="11" t="s">
        <v>1093</v>
      </c>
      <c r="B68" s="48" t="s">
        <v>1385</v>
      </c>
      <c r="C68" s="48" t="s">
        <v>365</v>
      </c>
      <c r="D68" s="61" t="s">
        <v>1329</v>
      </c>
      <c r="E68" s="61"/>
      <c r="F68" s="61"/>
      <c r="G68" s="61"/>
      <c r="H68" s="48" t="s">
        <v>1018</v>
      </c>
      <c r="I68" s="13">
        <v>910</v>
      </c>
      <c r="J68" s="13">
        <v>0</v>
      </c>
      <c r="K68" s="13">
        <f>I68*AO68</f>
        <v>0</v>
      </c>
      <c r="L68" s="13">
        <f>I68*AP68</f>
        <v>0</v>
      </c>
      <c r="M68" s="13">
        <f>I68*J68</f>
        <v>0</v>
      </c>
      <c r="N68" s="13">
        <v>0.43683</v>
      </c>
      <c r="O68" s="10" t="s">
        <v>851</v>
      </c>
      <c r="Z68" s="13">
        <f>IF(AQ68="5",BJ68,0)</f>
        <v>0</v>
      </c>
      <c r="AB68" s="13">
        <f>IF(AQ68="1",BH68,0)</f>
        <v>0</v>
      </c>
      <c r="AC68" s="13">
        <f>IF(AQ68="1",BI68,0)</f>
        <v>0</v>
      </c>
      <c r="AD68" s="13">
        <f>IF(AQ68="7",BH68,0)</f>
        <v>0</v>
      </c>
      <c r="AE68" s="13">
        <f>IF(AQ68="7",BI68,0)</f>
        <v>0</v>
      </c>
      <c r="AF68" s="13">
        <f>IF(AQ68="2",BH68,0)</f>
        <v>0</v>
      </c>
      <c r="AG68" s="13">
        <f>IF(AQ68="2",BI68,0)</f>
        <v>0</v>
      </c>
      <c r="AH68" s="13">
        <f>IF(AQ68="0",BJ68,0)</f>
        <v>0</v>
      </c>
      <c r="AI68" s="21" t="s">
        <v>1385</v>
      </c>
      <c r="AJ68" s="13">
        <f>IF(AN68=0,M68,0)</f>
        <v>0</v>
      </c>
      <c r="AK68" s="13">
        <f>IF(AN68=15,M68,0)</f>
        <v>0</v>
      </c>
      <c r="AL68" s="13">
        <f>IF(AN68=21,M68,0)</f>
        <v>0</v>
      </c>
      <c r="AN68" s="13">
        <v>21</v>
      </c>
      <c r="AO68" s="13">
        <f>J68*0.531695364238411</f>
        <v>0</v>
      </c>
      <c r="AP68" s="13">
        <f>J68*(1-0.531695364238411)</f>
        <v>0</v>
      </c>
      <c r="AQ68" s="32" t="s">
        <v>1231</v>
      </c>
      <c r="AV68" s="13">
        <f>AW68+AX68</f>
        <v>0</v>
      </c>
      <c r="AW68" s="13">
        <f>I68*AO68</f>
        <v>0</v>
      </c>
      <c r="AX68" s="13">
        <f>I68*AP68</f>
        <v>0</v>
      </c>
      <c r="AY68" s="32" t="s">
        <v>762</v>
      </c>
      <c r="AZ68" s="32" t="s">
        <v>492</v>
      </c>
      <c r="BA68" s="21" t="s">
        <v>1134</v>
      </c>
      <c r="BC68" s="13">
        <f>AW68+AX68</f>
        <v>0</v>
      </c>
      <c r="BD68" s="13">
        <f>J68/(100-BE68)*100</f>
        <v>0</v>
      </c>
      <c r="BE68" s="13">
        <v>0</v>
      </c>
      <c r="BF68" s="13">
        <f>68</f>
        <v>68</v>
      </c>
      <c r="BH68" s="13">
        <f>I68*AO68</f>
        <v>0</v>
      </c>
      <c r="BI68" s="13">
        <f>I68*AP68</f>
        <v>0</v>
      </c>
      <c r="BJ68" s="13">
        <f>I68*J68</f>
        <v>0</v>
      </c>
      <c r="BK68" s="13"/>
      <c r="BL68" s="13">
        <v>21</v>
      </c>
    </row>
    <row r="69" spans="1:15" ht="13.5" customHeight="1">
      <c r="A69" s="39"/>
      <c r="C69" s="7" t="s">
        <v>106</v>
      </c>
      <c r="D69" s="74" t="s">
        <v>234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6"/>
    </row>
    <row r="70" spans="1:47" ht="15" customHeight="1">
      <c r="A70" s="30" t="s">
        <v>862</v>
      </c>
      <c r="B70" s="18" t="s">
        <v>1385</v>
      </c>
      <c r="C70" s="18" t="s">
        <v>1341</v>
      </c>
      <c r="D70" s="73" t="s">
        <v>680</v>
      </c>
      <c r="E70" s="73"/>
      <c r="F70" s="73"/>
      <c r="G70" s="73"/>
      <c r="H70" s="15" t="s">
        <v>1148</v>
      </c>
      <c r="I70" s="15" t="s">
        <v>1148</v>
      </c>
      <c r="J70" s="15" t="s">
        <v>1148</v>
      </c>
      <c r="K70" s="56">
        <f>SUM(K71:K71)</f>
        <v>0</v>
      </c>
      <c r="L70" s="56">
        <f>SUM(L71:L71)</f>
        <v>0</v>
      </c>
      <c r="M70" s="56">
        <f>SUM(M71:M71)</f>
        <v>0</v>
      </c>
      <c r="N70" s="21" t="s">
        <v>862</v>
      </c>
      <c r="O70" s="47" t="s">
        <v>862</v>
      </c>
      <c r="AI70" s="21" t="s">
        <v>1385</v>
      </c>
      <c r="AS70" s="56">
        <f>SUM(AJ71:AJ71)</f>
        <v>0</v>
      </c>
      <c r="AT70" s="56">
        <f>SUM(AK71:AK71)</f>
        <v>0</v>
      </c>
      <c r="AU70" s="56">
        <f>SUM(AL71:AL71)</f>
        <v>0</v>
      </c>
    </row>
    <row r="71" spans="1:64" ht="15" customHeight="1">
      <c r="A71" s="11" t="s">
        <v>725</v>
      </c>
      <c r="B71" s="48" t="s">
        <v>1385</v>
      </c>
      <c r="C71" s="48" t="s">
        <v>813</v>
      </c>
      <c r="D71" s="61" t="s">
        <v>1056</v>
      </c>
      <c r="E71" s="61"/>
      <c r="F71" s="61"/>
      <c r="G71" s="61"/>
      <c r="H71" s="48" t="s">
        <v>1216</v>
      </c>
      <c r="I71" s="13">
        <v>2374</v>
      </c>
      <c r="J71" s="13">
        <v>0</v>
      </c>
      <c r="K71" s="13">
        <f>I71*AO71</f>
        <v>0</v>
      </c>
      <c r="L71" s="13">
        <f>I71*AP71</f>
        <v>0</v>
      </c>
      <c r="M71" s="13">
        <f>I71*J71</f>
        <v>0</v>
      </c>
      <c r="N71" s="13">
        <v>3E-05</v>
      </c>
      <c r="O71" s="10" t="s">
        <v>851</v>
      </c>
      <c r="Z71" s="13">
        <f>IF(AQ71="5",BJ71,0)</f>
        <v>0</v>
      </c>
      <c r="AB71" s="13">
        <f>IF(AQ71="1",BH71,0)</f>
        <v>0</v>
      </c>
      <c r="AC71" s="13">
        <f>IF(AQ71="1",BI71,0)</f>
        <v>0</v>
      </c>
      <c r="AD71" s="13">
        <f>IF(AQ71="7",BH71,0)</f>
        <v>0</v>
      </c>
      <c r="AE71" s="13">
        <f>IF(AQ71="7",BI71,0)</f>
        <v>0</v>
      </c>
      <c r="AF71" s="13">
        <f>IF(AQ71="2",BH71,0)</f>
        <v>0</v>
      </c>
      <c r="AG71" s="13">
        <f>IF(AQ71="2",BI71,0)</f>
        <v>0</v>
      </c>
      <c r="AH71" s="13">
        <f>IF(AQ71="0",BJ71,0)</f>
        <v>0</v>
      </c>
      <c r="AI71" s="21" t="s">
        <v>1385</v>
      </c>
      <c r="AJ71" s="13">
        <f>IF(AN71=0,M71,0)</f>
        <v>0</v>
      </c>
      <c r="AK71" s="13">
        <f>IF(AN71=15,M71,0)</f>
        <v>0</v>
      </c>
      <c r="AL71" s="13">
        <f>IF(AN71=21,M71,0)</f>
        <v>0</v>
      </c>
      <c r="AN71" s="13">
        <v>21</v>
      </c>
      <c r="AO71" s="13">
        <f>J71*0.025451180009255</f>
        <v>0</v>
      </c>
      <c r="AP71" s="13">
        <f>J71*(1-0.025451180009255)</f>
        <v>0</v>
      </c>
      <c r="AQ71" s="32" t="s">
        <v>1231</v>
      </c>
      <c r="AV71" s="13">
        <f>AW71+AX71</f>
        <v>0</v>
      </c>
      <c r="AW71" s="13">
        <f>I71*AO71</f>
        <v>0</v>
      </c>
      <c r="AX71" s="13">
        <f>I71*AP71</f>
        <v>0</v>
      </c>
      <c r="AY71" s="32" t="s">
        <v>548</v>
      </c>
      <c r="AZ71" s="32" t="s">
        <v>492</v>
      </c>
      <c r="BA71" s="21" t="s">
        <v>1134</v>
      </c>
      <c r="BC71" s="13">
        <f>AW71+AX71</f>
        <v>0</v>
      </c>
      <c r="BD71" s="13">
        <f>J71/(100-BE71)*100</f>
        <v>0</v>
      </c>
      <c r="BE71" s="13">
        <v>0</v>
      </c>
      <c r="BF71" s="13">
        <f>71</f>
        <v>71</v>
      </c>
      <c r="BH71" s="13">
        <f>I71*AO71</f>
        <v>0</v>
      </c>
      <c r="BI71" s="13">
        <f>I71*AP71</f>
        <v>0</v>
      </c>
      <c r="BJ71" s="13">
        <f>I71*J71</f>
        <v>0</v>
      </c>
      <c r="BK71" s="13"/>
      <c r="BL71" s="13">
        <v>28</v>
      </c>
    </row>
    <row r="72" spans="1:47" ht="15" customHeight="1">
      <c r="A72" s="30" t="s">
        <v>862</v>
      </c>
      <c r="B72" s="18" t="s">
        <v>1385</v>
      </c>
      <c r="C72" s="18" t="s">
        <v>783</v>
      </c>
      <c r="D72" s="73" t="s">
        <v>1140</v>
      </c>
      <c r="E72" s="73"/>
      <c r="F72" s="73"/>
      <c r="G72" s="73"/>
      <c r="H72" s="15" t="s">
        <v>1148</v>
      </c>
      <c r="I72" s="15" t="s">
        <v>1148</v>
      </c>
      <c r="J72" s="15" t="s">
        <v>1148</v>
      </c>
      <c r="K72" s="56">
        <f>SUM(K73:K75)</f>
        <v>0</v>
      </c>
      <c r="L72" s="56">
        <f>SUM(L73:L75)</f>
        <v>0</v>
      </c>
      <c r="M72" s="56">
        <f>SUM(M73:M75)</f>
        <v>0</v>
      </c>
      <c r="N72" s="21" t="s">
        <v>862</v>
      </c>
      <c r="O72" s="47" t="s">
        <v>862</v>
      </c>
      <c r="AI72" s="21" t="s">
        <v>1385</v>
      </c>
      <c r="AS72" s="56">
        <f>SUM(AJ73:AJ75)</f>
        <v>0</v>
      </c>
      <c r="AT72" s="56">
        <f>SUM(AK73:AK75)</f>
        <v>0</v>
      </c>
      <c r="AU72" s="56">
        <f>SUM(AL73:AL75)</f>
        <v>0</v>
      </c>
    </row>
    <row r="73" spans="1:64" ht="15" customHeight="1">
      <c r="A73" s="11" t="s">
        <v>1214</v>
      </c>
      <c r="B73" s="48" t="s">
        <v>1385</v>
      </c>
      <c r="C73" s="48" t="s">
        <v>64</v>
      </c>
      <c r="D73" s="61" t="s">
        <v>1181</v>
      </c>
      <c r="E73" s="61"/>
      <c r="F73" s="61"/>
      <c r="G73" s="61"/>
      <c r="H73" s="48" t="s">
        <v>1216</v>
      </c>
      <c r="I73" s="13">
        <v>2985</v>
      </c>
      <c r="J73" s="13">
        <v>0</v>
      </c>
      <c r="K73" s="13">
        <f>I73*AO73</f>
        <v>0</v>
      </c>
      <c r="L73" s="13">
        <f>I73*AP73</f>
        <v>0</v>
      </c>
      <c r="M73" s="13">
        <f>I73*J73</f>
        <v>0</v>
      </c>
      <c r="N73" s="13">
        <v>0.378</v>
      </c>
      <c r="O73" s="10" t="s">
        <v>851</v>
      </c>
      <c r="Z73" s="13">
        <f>IF(AQ73="5",BJ73,0)</f>
        <v>0</v>
      </c>
      <c r="AB73" s="13">
        <f>IF(AQ73="1",BH73,0)</f>
        <v>0</v>
      </c>
      <c r="AC73" s="13">
        <f>IF(AQ73="1",BI73,0)</f>
        <v>0</v>
      </c>
      <c r="AD73" s="13">
        <f>IF(AQ73="7",BH73,0)</f>
        <v>0</v>
      </c>
      <c r="AE73" s="13">
        <f>IF(AQ73="7",BI73,0)</f>
        <v>0</v>
      </c>
      <c r="AF73" s="13">
        <f>IF(AQ73="2",BH73,0)</f>
        <v>0</v>
      </c>
      <c r="AG73" s="13">
        <f>IF(AQ73="2",BI73,0)</f>
        <v>0</v>
      </c>
      <c r="AH73" s="13">
        <f>IF(AQ73="0",BJ73,0)</f>
        <v>0</v>
      </c>
      <c r="AI73" s="21" t="s">
        <v>1385</v>
      </c>
      <c r="AJ73" s="13">
        <f>IF(AN73=0,M73,0)</f>
        <v>0</v>
      </c>
      <c r="AK73" s="13">
        <f>IF(AN73=15,M73,0)</f>
        <v>0</v>
      </c>
      <c r="AL73" s="13">
        <f>IF(AN73=21,M73,0)</f>
        <v>0</v>
      </c>
      <c r="AN73" s="13">
        <v>21</v>
      </c>
      <c r="AO73" s="13">
        <f>J73*0.843549618320611</f>
        <v>0</v>
      </c>
      <c r="AP73" s="13">
        <f>J73*(1-0.843549618320611)</f>
        <v>0</v>
      </c>
      <c r="AQ73" s="32" t="s">
        <v>1231</v>
      </c>
      <c r="AV73" s="13">
        <f>AW73+AX73</f>
        <v>0</v>
      </c>
      <c r="AW73" s="13">
        <f>I73*AO73</f>
        <v>0</v>
      </c>
      <c r="AX73" s="13">
        <f>I73*AP73</f>
        <v>0</v>
      </c>
      <c r="AY73" s="32" t="s">
        <v>1283</v>
      </c>
      <c r="AZ73" s="32" t="s">
        <v>742</v>
      </c>
      <c r="BA73" s="21" t="s">
        <v>1134</v>
      </c>
      <c r="BC73" s="13">
        <f>AW73+AX73</f>
        <v>0</v>
      </c>
      <c r="BD73" s="13">
        <f>J73/(100-BE73)*100</f>
        <v>0</v>
      </c>
      <c r="BE73" s="13">
        <v>0</v>
      </c>
      <c r="BF73" s="13">
        <f>73</f>
        <v>73</v>
      </c>
      <c r="BH73" s="13">
        <f>I73*AO73</f>
        <v>0</v>
      </c>
      <c r="BI73" s="13">
        <f>I73*AP73</f>
        <v>0</v>
      </c>
      <c r="BJ73" s="13">
        <f>I73*J73</f>
        <v>0</v>
      </c>
      <c r="BK73" s="13"/>
      <c r="BL73" s="13">
        <v>56</v>
      </c>
    </row>
    <row r="74" spans="1:64" ht="15" customHeight="1">
      <c r="A74" s="11" t="s">
        <v>746</v>
      </c>
      <c r="B74" s="48" t="s">
        <v>1385</v>
      </c>
      <c r="C74" s="48" t="s">
        <v>64</v>
      </c>
      <c r="D74" s="61" t="s">
        <v>1181</v>
      </c>
      <c r="E74" s="61"/>
      <c r="F74" s="61"/>
      <c r="G74" s="61"/>
      <c r="H74" s="48" t="s">
        <v>1216</v>
      </c>
      <c r="I74" s="13">
        <v>2985</v>
      </c>
      <c r="J74" s="13">
        <v>0</v>
      </c>
      <c r="K74" s="13">
        <f>I74*AO74</f>
        <v>0</v>
      </c>
      <c r="L74" s="13">
        <f>I74*AP74</f>
        <v>0</v>
      </c>
      <c r="M74" s="13">
        <f>I74*J74</f>
        <v>0</v>
      </c>
      <c r="N74" s="13">
        <v>0.378</v>
      </c>
      <c r="O74" s="10" t="s">
        <v>851</v>
      </c>
      <c r="Z74" s="13">
        <f>IF(AQ74="5",BJ74,0)</f>
        <v>0</v>
      </c>
      <c r="AB74" s="13">
        <f>IF(AQ74="1",BH74,0)</f>
        <v>0</v>
      </c>
      <c r="AC74" s="13">
        <f>IF(AQ74="1",BI74,0)</f>
        <v>0</v>
      </c>
      <c r="AD74" s="13">
        <f>IF(AQ74="7",BH74,0)</f>
        <v>0</v>
      </c>
      <c r="AE74" s="13">
        <f>IF(AQ74="7",BI74,0)</f>
        <v>0</v>
      </c>
      <c r="AF74" s="13">
        <f>IF(AQ74="2",BH74,0)</f>
        <v>0</v>
      </c>
      <c r="AG74" s="13">
        <f>IF(AQ74="2",BI74,0)</f>
        <v>0</v>
      </c>
      <c r="AH74" s="13">
        <f>IF(AQ74="0",BJ74,0)</f>
        <v>0</v>
      </c>
      <c r="AI74" s="21" t="s">
        <v>1385</v>
      </c>
      <c r="AJ74" s="13">
        <f>IF(AN74=0,M74,0)</f>
        <v>0</v>
      </c>
      <c r="AK74" s="13">
        <f>IF(AN74=15,M74,0)</f>
        <v>0</v>
      </c>
      <c r="AL74" s="13">
        <f>IF(AN74=21,M74,0)</f>
        <v>0</v>
      </c>
      <c r="AN74" s="13">
        <v>21</v>
      </c>
      <c r="AO74" s="13">
        <f>J74*0.843549618320611</f>
        <v>0</v>
      </c>
      <c r="AP74" s="13">
        <f>J74*(1-0.843549618320611)</f>
        <v>0</v>
      </c>
      <c r="AQ74" s="32" t="s">
        <v>1231</v>
      </c>
      <c r="AV74" s="13">
        <f>AW74+AX74</f>
        <v>0</v>
      </c>
      <c r="AW74" s="13">
        <f>I74*AO74</f>
        <v>0</v>
      </c>
      <c r="AX74" s="13">
        <f>I74*AP74</f>
        <v>0</v>
      </c>
      <c r="AY74" s="32" t="s">
        <v>1283</v>
      </c>
      <c r="AZ74" s="32" t="s">
        <v>742</v>
      </c>
      <c r="BA74" s="21" t="s">
        <v>1134</v>
      </c>
      <c r="BC74" s="13">
        <f>AW74+AX74</f>
        <v>0</v>
      </c>
      <c r="BD74" s="13">
        <f>J74/(100-BE74)*100</f>
        <v>0</v>
      </c>
      <c r="BE74" s="13">
        <v>0</v>
      </c>
      <c r="BF74" s="13">
        <f>74</f>
        <v>74</v>
      </c>
      <c r="BH74" s="13">
        <f>I74*AO74</f>
        <v>0</v>
      </c>
      <c r="BI74" s="13">
        <f>I74*AP74</f>
        <v>0</v>
      </c>
      <c r="BJ74" s="13">
        <f>I74*J74</f>
        <v>0</v>
      </c>
      <c r="BK74" s="13"/>
      <c r="BL74" s="13">
        <v>56</v>
      </c>
    </row>
    <row r="75" spans="1:64" ht="15" customHeight="1">
      <c r="A75" s="11" t="s">
        <v>801</v>
      </c>
      <c r="B75" s="48" t="s">
        <v>1385</v>
      </c>
      <c r="C75" s="48" t="s">
        <v>664</v>
      </c>
      <c r="D75" s="61" t="s">
        <v>1144</v>
      </c>
      <c r="E75" s="61"/>
      <c r="F75" s="61"/>
      <c r="G75" s="61"/>
      <c r="H75" s="48" t="s">
        <v>1216</v>
      </c>
      <c r="I75" s="13">
        <v>2985</v>
      </c>
      <c r="J75" s="13">
        <v>0</v>
      </c>
      <c r="K75" s="13">
        <f>I75*AO75</f>
        <v>0</v>
      </c>
      <c r="L75" s="13">
        <f>I75*AP75</f>
        <v>0</v>
      </c>
      <c r="M75" s="13">
        <f>I75*J75</f>
        <v>0</v>
      </c>
      <c r="N75" s="13">
        <v>0.18463</v>
      </c>
      <c r="O75" s="10" t="s">
        <v>851</v>
      </c>
      <c r="Z75" s="13">
        <f>IF(AQ75="5",BJ75,0)</f>
        <v>0</v>
      </c>
      <c r="AB75" s="13">
        <f>IF(AQ75="1",BH75,0)</f>
        <v>0</v>
      </c>
      <c r="AC75" s="13">
        <f>IF(AQ75="1",BI75,0)</f>
        <v>0</v>
      </c>
      <c r="AD75" s="13">
        <f>IF(AQ75="7",BH75,0)</f>
        <v>0</v>
      </c>
      <c r="AE75" s="13">
        <f>IF(AQ75="7",BI75,0)</f>
        <v>0</v>
      </c>
      <c r="AF75" s="13">
        <f>IF(AQ75="2",BH75,0)</f>
        <v>0</v>
      </c>
      <c r="AG75" s="13">
        <f>IF(AQ75="2",BI75,0)</f>
        <v>0</v>
      </c>
      <c r="AH75" s="13">
        <f>IF(AQ75="0",BJ75,0)</f>
        <v>0</v>
      </c>
      <c r="AI75" s="21" t="s">
        <v>1385</v>
      </c>
      <c r="AJ75" s="13">
        <f>IF(AN75=0,M75,0)</f>
        <v>0</v>
      </c>
      <c r="AK75" s="13">
        <f>IF(AN75=15,M75,0)</f>
        <v>0</v>
      </c>
      <c r="AL75" s="13">
        <f>IF(AN75=21,M75,0)</f>
        <v>0</v>
      </c>
      <c r="AN75" s="13">
        <v>21</v>
      </c>
      <c r="AO75" s="13">
        <f>J75*0.803358925143954</f>
        <v>0</v>
      </c>
      <c r="AP75" s="13">
        <f>J75*(1-0.803358925143954)</f>
        <v>0</v>
      </c>
      <c r="AQ75" s="32" t="s">
        <v>1231</v>
      </c>
      <c r="AV75" s="13">
        <f>AW75+AX75</f>
        <v>0</v>
      </c>
      <c r="AW75" s="13">
        <f>I75*AO75</f>
        <v>0</v>
      </c>
      <c r="AX75" s="13">
        <f>I75*AP75</f>
        <v>0</v>
      </c>
      <c r="AY75" s="32" t="s">
        <v>1283</v>
      </c>
      <c r="AZ75" s="32" t="s">
        <v>742</v>
      </c>
      <c r="BA75" s="21" t="s">
        <v>1134</v>
      </c>
      <c r="BC75" s="13">
        <f>AW75+AX75</f>
        <v>0</v>
      </c>
      <c r="BD75" s="13">
        <f>J75/(100-BE75)*100</f>
        <v>0</v>
      </c>
      <c r="BE75" s="13">
        <v>0</v>
      </c>
      <c r="BF75" s="13">
        <f>75</f>
        <v>75</v>
      </c>
      <c r="BH75" s="13">
        <f>I75*AO75</f>
        <v>0</v>
      </c>
      <c r="BI75" s="13">
        <f>I75*AP75</f>
        <v>0</v>
      </c>
      <c r="BJ75" s="13">
        <f>I75*J75</f>
        <v>0</v>
      </c>
      <c r="BK75" s="13"/>
      <c r="BL75" s="13">
        <v>56</v>
      </c>
    </row>
    <row r="76" spans="1:47" ht="15" customHeight="1">
      <c r="A76" s="30" t="s">
        <v>862</v>
      </c>
      <c r="B76" s="18" t="s">
        <v>1385</v>
      </c>
      <c r="C76" s="18" t="s">
        <v>1178</v>
      </c>
      <c r="D76" s="73" t="s">
        <v>829</v>
      </c>
      <c r="E76" s="73"/>
      <c r="F76" s="73"/>
      <c r="G76" s="73"/>
      <c r="H76" s="15" t="s">
        <v>1148</v>
      </c>
      <c r="I76" s="15" t="s">
        <v>1148</v>
      </c>
      <c r="J76" s="15" t="s">
        <v>1148</v>
      </c>
      <c r="K76" s="56">
        <f>SUM(K77:K79)</f>
        <v>0</v>
      </c>
      <c r="L76" s="56">
        <f>SUM(L77:L79)</f>
        <v>0</v>
      </c>
      <c r="M76" s="56">
        <f>SUM(M77:M79)</f>
        <v>0</v>
      </c>
      <c r="N76" s="21" t="s">
        <v>862</v>
      </c>
      <c r="O76" s="47" t="s">
        <v>862</v>
      </c>
      <c r="AI76" s="21" t="s">
        <v>1385</v>
      </c>
      <c r="AS76" s="56">
        <f>SUM(AJ77:AJ79)</f>
        <v>0</v>
      </c>
      <c r="AT76" s="56">
        <f>SUM(AK77:AK79)</f>
        <v>0</v>
      </c>
      <c r="AU76" s="56">
        <f>SUM(AL77:AL79)</f>
        <v>0</v>
      </c>
    </row>
    <row r="77" spans="1:64" ht="15" customHeight="1">
      <c r="A77" s="11" t="s">
        <v>424</v>
      </c>
      <c r="B77" s="48" t="s">
        <v>1385</v>
      </c>
      <c r="C77" s="48" t="s">
        <v>1102</v>
      </c>
      <c r="D77" s="61" t="s">
        <v>1152</v>
      </c>
      <c r="E77" s="61"/>
      <c r="F77" s="61"/>
      <c r="G77" s="61"/>
      <c r="H77" s="48" t="s">
        <v>1216</v>
      </c>
      <c r="I77" s="13">
        <v>2985</v>
      </c>
      <c r="J77" s="13">
        <v>0</v>
      </c>
      <c r="K77" s="13">
        <f>I77*AO77</f>
        <v>0</v>
      </c>
      <c r="L77" s="13">
        <f>I77*AP77</f>
        <v>0</v>
      </c>
      <c r="M77" s="13">
        <f>I77*J77</f>
        <v>0</v>
      </c>
      <c r="N77" s="13">
        <v>0.00561</v>
      </c>
      <c r="O77" s="10" t="s">
        <v>851</v>
      </c>
      <c r="Z77" s="13">
        <f>IF(AQ77="5",BJ77,0)</f>
        <v>0</v>
      </c>
      <c r="AB77" s="13">
        <f>IF(AQ77="1",BH77,0)</f>
        <v>0</v>
      </c>
      <c r="AC77" s="13">
        <f>IF(AQ77="1",BI77,0)</f>
        <v>0</v>
      </c>
      <c r="AD77" s="13">
        <f>IF(AQ77="7",BH77,0)</f>
        <v>0</v>
      </c>
      <c r="AE77" s="13">
        <f>IF(AQ77="7",BI77,0)</f>
        <v>0</v>
      </c>
      <c r="AF77" s="13">
        <f>IF(AQ77="2",BH77,0)</f>
        <v>0</v>
      </c>
      <c r="AG77" s="13">
        <f>IF(AQ77="2",BI77,0)</f>
        <v>0</v>
      </c>
      <c r="AH77" s="13">
        <f>IF(AQ77="0",BJ77,0)</f>
        <v>0</v>
      </c>
      <c r="AI77" s="21" t="s">
        <v>1385</v>
      </c>
      <c r="AJ77" s="13">
        <f>IF(AN77=0,M77,0)</f>
        <v>0</v>
      </c>
      <c r="AK77" s="13">
        <f>IF(AN77=15,M77,0)</f>
        <v>0</v>
      </c>
      <c r="AL77" s="13">
        <f>IF(AN77=21,M77,0)</f>
        <v>0</v>
      </c>
      <c r="AN77" s="13">
        <v>21</v>
      </c>
      <c r="AO77" s="13">
        <f>J77*0.88329592818211</f>
        <v>0</v>
      </c>
      <c r="AP77" s="13">
        <f>J77*(1-0.88329592818211)</f>
        <v>0</v>
      </c>
      <c r="AQ77" s="32" t="s">
        <v>1231</v>
      </c>
      <c r="AV77" s="13">
        <f>AW77+AX77</f>
        <v>0</v>
      </c>
      <c r="AW77" s="13">
        <f>I77*AO77</f>
        <v>0</v>
      </c>
      <c r="AX77" s="13">
        <f>I77*AP77</f>
        <v>0</v>
      </c>
      <c r="AY77" s="32" t="s">
        <v>481</v>
      </c>
      <c r="AZ77" s="32" t="s">
        <v>742</v>
      </c>
      <c r="BA77" s="21" t="s">
        <v>1134</v>
      </c>
      <c r="BC77" s="13">
        <f>AW77+AX77</f>
        <v>0</v>
      </c>
      <c r="BD77" s="13">
        <f>J77/(100-BE77)*100</f>
        <v>0</v>
      </c>
      <c r="BE77" s="13">
        <v>0</v>
      </c>
      <c r="BF77" s="13">
        <f>77</f>
        <v>77</v>
      </c>
      <c r="BH77" s="13">
        <f>I77*AO77</f>
        <v>0</v>
      </c>
      <c r="BI77" s="13">
        <f>I77*AP77</f>
        <v>0</v>
      </c>
      <c r="BJ77" s="13">
        <f>I77*J77</f>
        <v>0</v>
      </c>
      <c r="BK77" s="13"/>
      <c r="BL77" s="13">
        <v>57</v>
      </c>
    </row>
    <row r="78" spans="1:64" ht="15" customHeight="1">
      <c r="A78" s="11" t="s">
        <v>1217</v>
      </c>
      <c r="B78" s="48" t="s">
        <v>1385</v>
      </c>
      <c r="C78" s="48" t="s">
        <v>586</v>
      </c>
      <c r="D78" s="61" t="s">
        <v>1358</v>
      </c>
      <c r="E78" s="61"/>
      <c r="F78" s="61"/>
      <c r="G78" s="61"/>
      <c r="H78" s="48" t="s">
        <v>1216</v>
      </c>
      <c r="I78" s="13">
        <v>2985</v>
      </c>
      <c r="J78" s="13">
        <v>0</v>
      </c>
      <c r="K78" s="13">
        <f>I78*AO78</f>
        <v>0</v>
      </c>
      <c r="L78" s="13">
        <f>I78*AP78</f>
        <v>0</v>
      </c>
      <c r="M78" s="13">
        <f>I78*J78</f>
        <v>0</v>
      </c>
      <c r="N78" s="13">
        <v>0.10373</v>
      </c>
      <c r="O78" s="10" t="s">
        <v>851</v>
      </c>
      <c r="Z78" s="13">
        <f>IF(AQ78="5",BJ78,0)</f>
        <v>0</v>
      </c>
      <c r="AB78" s="13">
        <f>IF(AQ78="1",BH78,0)</f>
        <v>0</v>
      </c>
      <c r="AC78" s="13">
        <f>IF(AQ78="1",BI78,0)</f>
        <v>0</v>
      </c>
      <c r="AD78" s="13">
        <f>IF(AQ78="7",BH78,0)</f>
        <v>0</v>
      </c>
      <c r="AE78" s="13">
        <f>IF(AQ78="7",BI78,0)</f>
        <v>0</v>
      </c>
      <c r="AF78" s="13">
        <f>IF(AQ78="2",BH78,0)</f>
        <v>0</v>
      </c>
      <c r="AG78" s="13">
        <f>IF(AQ78="2",BI78,0)</f>
        <v>0</v>
      </c>
      <c r="AH78" s="13">
        <f>IF(AQ78="0",BJ78,0)</f>
        <v>0</v>
      </c>
      <c r="AI78" s="21" t="s">
        <v>1385</v>
      </c>
      <c r="AJ78" s="13">
        <f>IF(AN78=0,M78,0)</f>
        <v>0</v>
      </c>
      <c r="AK78" s="13">
        <f>IF(AN78=15,M78,0)</f>
        <v>0</v>
      </c>
      <c r="AL78" s="13">
        <f>IF(AN78=21,M78,0)</f>
        <v>0</v>
      </c>
      <c r="AN78" s="13">
        <v>21</v>
      </c>
      <c r="AO78" s="13">
        <f>J78*0.751987577639751</f>
        <v>0</v>
      </c>
      <c r="AP78" s="13">
        <f>J78*(1-0.751987577639751)</f>
        <v>0</v>
      </c>
      <c r="AQ78" s="32" t="s">
        <v>1231</v>
      </c>
      <c r="AV78" s="13">
        <f>AW78+AX78</f>
        <v>0</v>
      </c>
      <c r="AW78" s="13">
        <f>I78*AO78</f>
        <v>0</v>
      </c>
      <c r="AX78" s="13">
        <f>I78*AP78</f>
        <v>0</v>
      </c>
      <c r="AY78" s="32" t="s">
        <v>481</v>
      </c>
      <c r="AZ78" s="32" t="s">
        <v>742</v>
      </c>
      <c r="BA78" s="21" t="s">
        <v>1134</v>
      </c>
      <c r="BC78" s="13">
        <f>AW78+AX78</f>
        <v>0</v>
      </c>
      <c r="BD78" s="13">
        <f>J78/(100-BE78)*100</f>
        <v>0</v>
      </c>
      <c r="BE78" s="13">
        <v>0</v>
      </c>
      <c r="BF78" s="13">
        <f>78</f>
        <v>78</v>
      </c>
      <c r="BH78" s="13">
        <f>I78*AO78</f>
        <v>0</v>
      </c>
      <c r="BI78" s="13">
        <f>I78*AP78</f>
        <v>0</v>
      </c>
      <c r="BJ78" s="13">
        <f>I78*J78</f>
        <v>0</v>
      </c>
      <c r="BK78" s="13"/>
      <c r="BL78" s="13">
        <v>57</v>
      </c>
    </row>
    <row r="79" spans="1:64" ht="15" customHeight="1">
      <c r="A79" s="11" t="s">
        <v>217</v>
      </c>
      <c r="B79" s="48" t="s">
        <v>1385</v>
      </c>
      <c r="C79" s="48" t="s">
        <v>931</v>
      </c>
      <c r="D79" s="61" t="s">
        <v>381</v>
      </c>
      <c r="E79" s="61"/>
      <c r="F79" s="61"/>
      <c r="G79" s="61"/>
      <c r="H79" s="48" t="s">
        <v>1216</v>
      </c>
      <c r="I79" s="13">
        <v>2985</v>
      </c>
      <c r="J79" s="13">
        <v>0</v>
      </c>
      <c r="K79" s="13">
        <f>I79*AO79</f>
        <v>0</v>
      </c>
      <c r="L79" s="13">
        <f>I79*AP79</f>
        <v>0</v>
      </c>
      <c r="M79" s="13">
        <f>I79*J79</f>
        <v>0</v>
      </c>
      <c r="N79" s="13">
        <v>0.0004</v>
      </c>
      <c r="O79" s="10" t="s">
        <v>851</v>
      </c>
      <c r="Z79" s="13">
        <f>IF(AQ79="5",BJ79,0)</f>
        <v>0</v>
      </c>
      <c r="AB79" s="13">
        <f>IF(AQ79="1",BH79,0)</f>
        <v>0</v>
      </c>
      <c r="AC79" s="13">
        <f>IF(AQ79="1",BI79,0)</f>
        <v>0</v>
      </c>
      <c r="AD79" s="13">
        <f>IF(AQ79="7",BH79,0)</f>
        <v>0</v>
      </c>
      <c r="AE79" s="13">
        <f>IF(AQ79="7",BI79,0)</f>
        <v>0</v>
      </c>
      <c r="AF79" s="13">
        <f>IF(AQ79="2",BH79,0)</f>
        <v>0</v>
      </c>
      <c r="AG79" s="13">
        <f>IF(AQ79="2",BI79,0)</f>
        <v>0</v>
      </c>
      <c r="AH79" s="13">
        <f>IF(AQ79="0",BJ79,0)</f>
        <v>0</v>
      </c>
      <c r="AI79" s="21" t="s">
        <v>1385</v>
      </c>
      <c r="AJ79" s="13">
        <f>IF(AN79=0,M79,0)</f>
        <v>0</v>
      </c>
      <c r="AK79" s="13">
        <f>IF(AN79=15,M79,0)</f>
        <v>0</v>
      </c>
      <c r="AL79" s="13">
        <f>IF(AN79=21,M79,0)</f>
        <v>0</v>
      </c>
      <c r="AN79" s="13">
        <v>21</v>
      </c>
      <c r="AO79" s="13">
        <f>J79*0.886885245901639</f>
        <v>0</v>
      </c>
      <c r="AP79" s="13">
        <f>J79*(1-0.886885245901639)</f>
        <v>0</v>
      </c>
      <c r="AQ79" s="32" t="s">
        <v>1231</v>
      </c>
      <c r="AV79" s="13">
        <f>AW79+AX79</f>
        <v>0</v>
      </c>
      <c r="AW79" s="13">
        <f>I79*AO79</f>
        <v>0</v>
      </c>
      <c r="AX79" s="13">
        <f>I79*AP79</f>
        <v>0</v>
      </c>
      <c r="AY79" s="32" t="s">
        <v>481</v>
      </c>
      <c r="AZ79" s="32" t="s">
        <v>742</v>
      </c>
      <c r="BA79" s="21" t="s">
        <v>1134</v>
      </c>
      <c r="BC79" s="13">
        <f>AW79+AX79</f>
        <v>0</v>
      </c>
      <c r="BD79" s="13">
        <f>J79/(100-BE79)*100</f>
        <v>0</v>
      </c>
      <c r="BE79" s="13">
        <v>0</v>
      </c>
      <c r="BF79" s="13">
        <f>79</f>
        <v>79</v>
      </c>
      <c r="BH79" s="13">
        <f>I79*AO79</f>
        <v>0</v>
      </c>
      <c r="BI79" s="13">
        <f>I79*AP79</f>
        <v>0</v>
      </c>
      <c r="BJ79" s="13">
        <f>I79*J79</f>
        <v>0</v>
      </c>
      <c r="BK79" s="13"/>
      <c r="BL79" s="13">
        <v>57</v>
      </c>
    </row>
    <row r="80" spans="1:47" ht="15" customHeight="1">
      <c r="A80" s="30" t="s">
        <v>862</v>
      </c>
      <c r="B80" s="18" t="s">
        <v>1385</v>
      </c>
      <c r="C80" s="18" t="s">
        <v>432</v>
      </c>
      <c r="D80" s="73" t="s">
        <v>632</v>
      </c>
      <c r="E80" s="73"/>
      <c r="F80" s="73"/>
      <c r="G80" s="73"/>
      <c r="H80" s="15" t="s">
        <v>1148</v>
      </c>
      <c r="I80" s="15" t="s">
        <v>1148</v>
      </c>
      <c r="J80" s="15" t="s">
        <v>1148</v>
      </c>
      <c r="K80" s="56">
        <f>SUM(K81:K82)</f>
        <v>0</v>
      </c>
      <c r="L80" s="56">
        <f>SUM(L81:L82)</f>
        <v>0</v>
      </c>
      <c r="M80" s="56">
        <f>SUM(M81:M82)</f>
        <v>0</v>
      </c>
      <c r="N80" s="21" t="s">
        <v>862</v>
      </c>
      <c r="O80" s="47" t="s">
        <v>862</v>
      </c>
      <c r="AI80" s="21" t="s">
        <v>1385</v>
      </c>
      <c r="AS80" s="56">
        <f>SUM(AJ81:AJ82)</f>
        <v>0</v>
      </c>
      <c r="AT80" s="56">
        <f>SUM(AK81:AK82)</f>
        <v>0</v>
      </c>
      <c r="AU80" s="56">
        <f>SUM(AL81:AL82)</f>
        <v>0</v>
      </c>
    </row>
    <row r="81" spans="1:64" ht="15" customHeight="1">
      <c r="A81" s="11" t="s">
        <v>399</v>
      </c>
      <c r="B81" s="48" t="s">
        <v>1385</v>
      </c>
      <c r="C81" s="48" t="s">
        <v>351</v>
      </c>
      <c r="D81" s="61" t="s">
        <v>595</v>
      </c>
      <c r="E81" s="61"/>
      <c r="F81" s="61"/>
      <c r="G81" s="61"/>
      <c r="H81" s="48" t="s">
        <v>553</v>
      </c>
      <c r="I81" s="13">
        <v>6197.109</v>
      </c>
      <c r="J81" s="13">
        <v>0</v>
      </c>
      <c r="K81" s="13">
        <f>I81*AO81</f>
        <v>0</v>
      </c>
      <c r="L81" s="13">
        <f>I81*AP81</f>
        <v>0</v>
      </c>
      <c r="M81" s="13">
        <f>I81*J81</f>
        <v>0</v>
      </c>
      <c r="N81" s="13">
        <v>0</v>
      </c>
      <c r="O81" s="10" t="s">
        <v>851</v>
      </c>
      <c r="Z81" s="13">
        <f>IF(AQ81="5",BJ81,0)</f>
        <v>0</v>
      </c>
      <c r="AB81" s="13">
        <f>IF(AQ81="1",BH81,0)</f>
        <v>0</v>
      </c>
      <c r="AC81" s="13">
        <f>IF(AQ81="1",BI81,0)</f>
        <v>0</v>
      </c>
      <c r="AD81" s="13">
        <f>IF(AQ81="7",BH81,0)</f>
        <v>0</v>
      </c>
      <c r="AE81" s="13">
        <f>IF(AQ81="7",BI81,0)</f>
        <v>0</v>
      </c>
      <c r="AF81" s="13">
        <f>IF(AQ81="2",BH81,0)</f>
        <v>0</v>
      </c>
      <c r="AG81" s="13">
        <f>IF(AQ81="2",BI81,0)</f>
        <v>0</v>
      </c>
      <c r="AH81" s="13">
        <f>IF(AQ81="0",BJ81,0)</f>
        <v>0</v>
      </c>
      <c r="AI81" s="21" t="s">
        <v>1385</v>
      </c>
      <c r="AJ81" s="13">
        <f>IF(AN81=0,M81,0)</f>
        <v>0</v>
      </c>
      <c r="AK81" s="13">
        <f>IF(AN81=15,M81,0)</f>
        <v>0</v>
      </c>
      <c r="AL81" s="13">
        <f>IF(AN81=21,M81,0)</f>
        <v>0</v>
      </c>
      <c r="AN81" s="13">
        <v>21</v>
      </c>
      <c r="AO81" s="13">
        <f>J81*0</f>
        <v>0</v>
      </c>
      <c r="AP81" s="13">
        <f>J81*(1-0)</f>
        <v>0</v>
      </c>
      <c r="AQ81" s="32" t="s">
        <v>654</v>
      </c>
      <c r="AV81" s="13">
        <f>AW81+AX81</f>
        <v>0</v>
      </c>
      <c r="AW81" s="13">
        <f>I81*AO81</f>
        <v>0</v>
      </c>
      <c r="AX81" s="13">
        <f>I81*AP81</f>
        <v>0</v>
      </c>
      <c r="AY81" s="32" t="s">
        <v>392</v>
      </c>
      <c r="AZ81" s="32" t="s">
        <v>544</v>
      </c>
      <c r="BA81" s="21" t="s">
        <v>1134</v>
      </c>
      <c r="BC81" s="13">
        <f>AW81+AX81</f>
        <v>0</v>
      </c>
      <c r="BD81" s="13">
        <f>J81/(100-BE81)*100</f>
        <v>0</v>
      </c>
      <c r="BE81" s="13">
        <v>0</v>
      </c>
      <c r="BF81" s="13">
        <f>81</f>
        <v>81</v>
      </c>
      <c r="BH81" s="13">
        <f>I81*AO81</f>
        <v>0</v>
      </c>
      <c r="BI81" s="13">
        <f>I81*AP81</f>
        <v>0</v>
      </c>
      <c r="BJ81" s="13">
        <f>I81*J81</f>
        <v>0</v>
      </c>
      <c r="BK81" s="13"/>
      <c r="BL81" s="13"/>
    </row>
    <row r="82" spans="1:64" ht="15" customHeight="1">
      <c r="A82" s="11" t="s">
        <v>523</v>
      </c>
      <c r="B82" s="48" t="s">
        <v>1385</v>
      </c>
      <c r="C82" s="48" t="s">
        <v>828</v>
      </c>
      <c r="D82" s="61" t="s">
        <v>610</v>
      </c>
      <c r="E82" s="61"/>
      <c r="F82" s="61"/>
      <c r="G82" s="61"/>
      <c r="H82" s="48" t="s">
        <v>1216</v>
      </c>
      <c r="I82" s="13">
        <v>2374</v>
      </c>
      <c r="J82" s="13">
        <v>0</v>
      </c>
      <c r="K82" s="13">
        <f>I82*AO82</f>
        <v>0</v>
      </c>
      <c r="L82" s="13">
        <f>I82*AP82</f>
        <v>0</v>
      </c>
      <c r="M82" s="13">
        <f>I82*J82</f>
        <v>0</v>
      </c>
      <c r="N82" s="13">
        <v>0.0003</v>
      </c>
      <c r="O82" s="10" t="s">
        <v>851</v>
      </c>
      <c r="Z82" s="13">
        <f>IF(AQ82="5",BJ82,0)</f>
        <v>0</v>
      </c>
      <c r="AB82" s="13">
        <f>IF(AQ82="1",BH82,0)</f>
        <v>0</v>
      </c>
      <c r="AC82" s="13">
        <f>IF(AQ82="1",BI82,0)</f>
        <v>0</v>
      </c>
      <c r="AD82" s="13">
        <f>IF(AQ82="7",BH82,0)</f>
        <v>0</v>
      </c>
      <c r="AE82" s="13">
        <f>IF(AQ82="7",BI82,0)</f>
        <v>0</v>
      </c>
      <c r="AF82" s="13">
        <f>IF(AQ82="2",BH82,0)</f>
        <v>0</v>
      </c>
      <c r="AG82" s="13">
        <f>IF(AQ82="2",BI82,0)</f>
        <v>0</v>
      </c>
      <c r="AH82" s="13">
        <f>IF(AQ82="0",BJ82,0)</f>
        <v>0</v>
      </c>
      <c r="AI82" s="21" t="s">
        <v>1385</v>
      </c>
      <c r="AJ82" s="13">
        <f>IF(AN82=0,M82,0)</f>
        <v>0</v>
      </c>
      <c r="AK82" s="13">
        <f>IF(AN82=15,M82,0)</f>
        <v>0</v>
      </c>
      <c r="AL82" s="13">
        <f>IF(AN82=21,M82,0)</f>
        <v>0</v>
      </c>
      <c r="AN82" s="13">
        <v>21</v>
      </c>
      <c r="AO82" s="13">
        <f>J82*1</f>
        <v>0</v>
      </c>
      <c r="AP82" s="13">
        <f>J82*(1-1)</f>
        <v>0</v>
      </c>
      <c r="AQ82" s="32" t="s">
        <v>1231</v>
      </c>
      <c r="AV82" s="13">
        <f>AW82+AX82</f>
        <v>0</v>
      </c>
      <c r="AW82" s="13">
        <f>I82*AO82</f>
        <v>0</v>
      </c>
      <c r="AX82" s="13">
        <f>I82*AP82</f>
        <v>0</v>
      </c>
      <c r="AY82" s="32" t="s">
        <v>392</v>
      </c>
      <c r="AZ82" s="32" t="s">
        <v>544</v>
      </c>
      <c r="BA82" s="21" t="s">
        <v>1134</v>
      </c>
      <c r="BC82" s="13">
        <f>AW82+AX82</f>
        <v>0</v>
      </c>
      <c r="BD82" s="13">
        <f>J82/(100-BE82)*100</f>
        <v>0</v>
      </c>
      <c r="BE82" s="13">
        <v>0</v>
      </c>
      <c r="BF82" s="13">
        <f>82</f>
        <v>82</v>
      </c>
      <c r="BH82" s="13">
        <f>I82*AO82</f>
        <v>0</v>
      </c>
      <c r="BI82" s="13">
        <f>I82*AP82</f>
        <v>0</v>
      </c>
      <c r="BJ82" s="13">
        <f>I82*J82</f>
        <v>0</v>
      </c>
      <c r="BK82" s="13"/>
      <c r="BL82" s="13"/>
    </row>
    <row r="83" spans="1:15" ht="15" customHeight="1">
      <c r="A83" s="30" t="s">
        <v>862</v>
      </c>
      <c r="B83" s="18" t="s">
        <v>103</v>
      </c>
      <c r="C83" s="18" t="s">
        <v>862</v>
      </c>
      <c r="D83" s="73" t="s">
        <v>966</v>
      </c>
      <c r="E83" s="73"/>
      <c r="F83" s="73"/>
      <c r="G83" s="73"/>
      <c r="H83" s="15" t="s">
        <v>1148</v>
      </c>
      <c r="I83" s="15" t="s">
        <v>1148</v>
      </c>
      <c r="J83" s="15" t="s">
        <v>1148</v>
      </c>
      <c r="K83" s="56">
        <f>K84+K94+K96+K101+K104+K109+K112+K115+K118+K120+K123+K130+K132+K142+K178+K180+K183+K186</f>
        <v>0</v>
      </c>
      <c r="L83" s="56">
        <f>L84+L94+L96+L101+L104+L109+L112+L115+L118+L120+L123+L130+L132+L142+L178+L180+L183+L186</f>
        <v>0</v>
      </c>
      <c r="M83" s="56">
        <f>M84+M94+M96+M101+M104+M109+M112+M115+M118+M120+M123+M130+M132+M142+M178+M180+M183+M186</f>
        <v>0</v>
      </c>
      <c r="N83" s="21" t="s">
        <v>862</v>
      </c>
      <c r="O83" s="47" t="s">
        <v>862</v>
      </c>
    </row>
    <row r="84" spans="1:47" ht="15" customHeight="1">
      <c r="A84" s="30" t="s">
        <v>862</v>
      </c>
      <c r="B84" s="18" t="s">
        <v>103</v>
      </c>
      <c r="C84" s="18" t="s">
        <v>1031</v>
      </c>
      <c r="D84" s="73" t="s">
        <v>675</v>
      </c>
      <c r="E84" s="73"/>
      <c r="F84" s="73"/>
      <c r="G84" s="73"/>
      <c r="H84" s="15" t="s">
        <v>1148</v>
      </c>
      <c r="I84" s="15" t="s">
        <v>1148</v>
      </c>
      <c r="J84" s="15" t="s">
        <v>1148</v>
      </c>
      <c r="K84" s="56">
        <f>SUM(K85:K93)</f>
        <v>0</v>
      </c>
      <c r="L84" s="56">
        <f>SUM(L85:L93)</f>
        <v>0</v>
      </c>
      <c r="M84" s="56">
        <f>SUM(M85:M93)</f>
        <v>0</v>
      </c>
      <c r="N84" s="21" t="s">
        <v>862</v>
      </c>
      <c r="O84" s="47" t="s">
        <v>862</v>
      </c>
      <c r="AI84" s="21" t="s">
        <v>103</v>
      </c>
      <c r="AS84" s="56">
        <f>SUM(AJ85:AJ93)</f>
        <v>0</v>
      </c>
      <c r="AT84" s="56">
        <f>SUM(AK85:AK93)</f>
        <v>0</v>
      </c>
      <c r="AU84" s="56">
        <f>SUM(AL85:AL93)</f>
        <v>0</v>
      </c>
    </row>
    <row r="85" spans="1:64" ht="15" customHeight="1">
      <c r="A85" s="11" t="s">
        <v>423</v>
      </c>
      <c r="B85" s="48" t="s">
        <v>103</v>
      </c>
      <c r="C85" s="48" t="s">
        <v>581</v>
      </c>
      <c r="D85" s="61" t="s">
        <v>754</v>
      </c>
      <c r="E85" s="61"/>
      <c r="F85" s="61"/>
      <c r="G85" s="61"/>
      <c r="H85" s="48" t="s">
        <v>530</v>
      </c>
      <c r="I85" s="13">
        <v>75</v>
      </c>
      <c r="J85" s="13">
        <v>0</v>
      </c>
      <c r="K85" s="13">
        <f aca="true" t="shared" si="0" ref="K85:K93">I85*AO85</f>
        <v>0</v>
      </c>
      <c r="L85" s="13">
        <f aca="true" t="shared" si="1" ref="L85:L93">I85*AP85</f>
        <v>0</v>
      </c>
      <c r="M85" s="13">
        <f aca="true" t="shared" si="2" ref="M85:M93">I85*J85</f>
        <v>0</v>
      </c>
      <c r="N85" s="13">
        <v>0</v>
      </c>
      <c r="O85" s="10" t="s">
        <v>851</v>
      </c>
      <c r="Z85" s="13">
        <f aca="true" t="shared" si="3" ref="Z85:Z93">IF(AQ85="5",BJ85,0)</f>
        <v>0</v>
      </c>
      <c r="AB85" s="13">
        <f aca="true" t="shared" si="4" ref="AB85:AB93">IF(AQ85="1",BH85,0)</f>
        <v>0</v>
      </c>
      <c r="AC85" s="13">
        <f aca="true" t="shared" si="5" ref="AC85:AC93">IF(AQ85="1",BI85,0)</f>
        <v>0</v>
      </c>
      <c r="AD85" s="13">
        <f aca="true" t="shared" si="6" ref="AD85:AD93">IF(AQ85="7",BH85,0)</f>
        <v>0</v>
      </c>
      <c r="AE85" s="13">
        <f aca="true" t="shared" si="7" ref="AE85:AE93">IF(AQ85="7",BI85,0)</f>
        <v>0</v>
      </c>
      <c r="AF85" s="13">
        <f aca="true" t="shared" si="8" ref="AF85:AF93">IF(AQ85="2",BH85,0)</f>
        <v>0</v>
      </c>
      <c r="AG85" s="13">
        <f aca="true" t="shared" si="9" ref="AG85:AG93">IF(AQ85="2",BI85,0)</f>
        <v>0</v>
      </c>
      <c r="AH85" s="13">
        <f aca="true" t="shared" si="10" ref="AH85:AH93">IF(AQ85="0",BJ85,0)</f>
        <v>0</v>
      </c>
      <c r="AI85" s="21" t="s">
        <v>103</v>
      </c>
      <c r="AJ85" s="13">
        <f aca="true" t="shared" si="11" ref="AJ85:AJ93">IF(AN85=0,M85,0)</f>
        <v>0</v>
      </c>
      <c r="AK85" s="13">
        <f aca="true" t="shared" si="12" ref="AK85:AK93">IF(AN85=15,M85,0)</f>
        <v>0</v>
      </c>
      <c r="AL85" s="13">
        <f aca="true" t="shared" si="13" ref="AL85:AL93">IF(AN85=21,M85,0)</f>
        <v>0</v>
      </c>
      <c r="AN85" s="13">
        <v>21</v>
      </c>
      <c r="AO85" s="13">
        <f>J85*0</f>
        <v>0</v>
      </c>
      <c r="AP85" s="13">
        <f>J85*(1-0)</f>
        <v>0</v>
      </c>
      <c r="AQ85" s="32" t="s">
        <v>1231</v>
      </c>
      <c r="AV85" s="13">
        <f aca="true" t="shared" si="14" ref="AV85:AV93">AW85+AX85</f>
        <v>0</v>
      </c>
      <c r="AW85" s="13">
        <f aca="true" t="shared" si="15" ref="AW85:AW93">I85*AO85</f>
        <v>0</v>
      </c>
      <c r="AX85" s="13">
        <f aca="true" t="shared" si="16" ref="AX85:AX93">I85*AP85</f>
        <v>0</v>
      </c>
      <c r="AY85" s="32" t="s">
        <v>133</v>
      </c>
      <c r="AZ85" s="32" t="s">
        <v>538</v>
      </c>
      <c r="BA85" s="21" t="s">
        <v>854</v>
      </c>
      <c r="BC85" s="13">
        <f aca="true" t="shared" si="17" ref="BC85:BC93">AW85+AX85</f>
        <v>0</v>
      </c>
      <c r="BD85" s="13">
        <f aca="true" t="shared" si="18" ref="BD85:BD93">J85/(100-BE85)*100</f>
        <v>0</v>
      </c>
      <c r="BE85" s="13">
        <v>0</v>
      </c>
      <c r="BF85" s="13">
        <f>85</f>
        <v>85</v>
      </c>
      <c r="BH85" s="13">
        <f aca="true" t="shared" si="19" ref="BH85:BH93">I85*AO85</f>
        <v>0</v>
      </c>
      <c r="BI85" s="13">
        <f aca="true" t="shared" si="20" ref="BI85:BI93">I85*AP85</f>
        <v>0</v>
      </c>
      <c r="BJ85" s="13">
        <f aca="true" t="shared" si="21" ref="BJ85:BJ93">I85*J85</f>
        <v>0</v>
      </c>
      <c r="BK85" s="13"/>
      <c r="BL85" s="13">
        <v>11</v>
      </c>
    </row>
    <row r="86" spans="1:64" ht="15" customHeight="1">
      <c r="A86" s="11" t="s">
        <v>996</v>
      </c>
      <c r="B86" s="48" t="s">
        <v>103</v>
      </c>
      <c r="C86" s="48" t="s">
        <v>256</v>
      </c>
      <c r="D86" s="61" t="s">
        <v>1122</v>
      </c>
      <c r="E86" s="61"/>
      <c r="F86" s="61"/>
      <c r="G86" s="61"/>
      <c r="H86" s="48" t="s">
        <v>1018</v>
      </c>
      <c r="I86" s="13">
        <v>10</v>
      </c>
      <c r="J86" s="13">
        <v>0</v>
      </c>
      <c r="K86" s="13">
        <f t="shared" si="0"/>
        <v>0</v>
      </c>
      <c r="L86" s="13">
        <f t="shared" si="1"/>
        <v>0</v>
      </c>
      <c r="M86" s="13">
        <f t="shared" si="2"/>
        <v>0</v>
      </c>
      <c r="N86" s="13">
        <v>0.01572</v>
      </c>
      <c r="O86" s="10" t="s">
        <v>851</v>
      </c>
      <c r="Z86" s="13">
        <f t="shared" si="3"/>
        <v>0</v>
      </c>
      <c r="AB86" s="13">
        <f t="shared" si="4"/>
        <v>0</v>
      </c>
      <c r="AC86" s="13">
        <f t="shared" si="5"/>
        <v>0</v>
      </c>
      <c r="AD86" s="13">
        <f t="shared" si="6"/>
        <v>0</v>
      </c>
      <c r="AE86" s="13">
        <f t="shared" si="7"/>
        <v>0</v>
      </c>
      <c r="AF86" s="13">
        <f t="shared" si="8"/>
        <v>0</v>
      </c>
      <c r="AG86" s="13">
        <f t="shared" si="9"/>
        <v>0</v>
      </c>
      <c r="AH86" s="13">
        <f t="shared" si="10"/>
        <v>0</v>
      </c>
      <c r="AI86" s="21" t="s">
        <v>103</v>
      </c>
      <c r="AJ86" s="13">
        <f t="shared" si="11"/>
        <v>0</v>
      </c>
      <c r="AK86" s="13">
        <f t="shared" si="12"/>
        <v>0</v>
      </c>
      <c r="AL86" s="13">
        <f t="shared" si="13"/>
        <v>0</v>
      </c>
      <c r="AN86" s="13">
        <v>21</v>
      </c>
      <c r="AO86" s="13">
        <f>J86*0.566026200873362</f>
        <v>0</v>
      </c>
      <c r="AP86" s="13">
        <f>J86*(1-0.566026200873362)</f>
        <v>0</v>
      </c>
      <c r="AQ86" s="32" t="s">
        <v>1231</v>
      </c>
      <c r="AV86" s="13">
        <f t="shared" si="14"/>
        <v>0</v>
      </c>
      <c r="AW86" s="13">
        <f t="shared" si="15"/>
        <v>0</v>
      </c>
      <c r="AX86" s="13">
        <f t="shared" si="16"/>
        <v>0</v>
      </c>
      <c r="AY86" s="32" t="s">
        <v>133</v>
      </c>
      <c r="AZ86" s="32" t="s">
        <v>538</v>
      </c>
      <c r="BA86" s="21" t="s">
        <v>854</v>
      </c>
      <c r="BC86" s="13">
        <f t="shared" si="17"/>
        <v>0</v>
      </c>
      <c r="BD86" s="13">
        <f t="shared" si="18"/>
        <v>0</v>
      </c>
      <c r="BE86" s="13">
        <v>0</v>
      </c>
      <c r="BF86" s="13">
        <f>86</f>
        <v>86</v>
      </c>
      <c r="BH86" s="13">
        <f t="shared" si="19"/>
        <v>0</v>
      </c>
      <c r="BI86" s="13">
        <f t="shared" si="20"/>
        <v>0</v>
      </c>
      <c r="BJ86" s="13">
        <f t="shared" si="21"/>
        <v>0</v>
      </c>
      <c r="BK86" s="13"/>
      <c r="BL86" s="13">
        <v>11</v>
      </c>
    </row>
    <row r="87" spans="1:64" ht="15" customHeight="1">
      <c r="A87" s="11" t="s">
        <v>1264</v>
      </c>
      <c r="B87" s="48" t="s">
        <v>103</v>
      </c>
      <c r="C87" s="48" t="s">
        <v>1198</v>
      </c>
      <c r="D87" s="61" t="s">
        <v>431</v>
      </c>
      <c r="E87" s="61"/>
      <c r="F87" s="61"/>
      <c r="G87" s="61"/>
      <c r="H87" s="48" t="s">
        <v>70</v>
      </c>
      <c r="I87" s="13">
        <v>75</v>
      </c>
      <c r="J87" s="13">
        <v>0</v>
      </c>
      <c r="K87" s="13">
        <f t="shared" si="0"/>
        <v>0</v>
      </c>
      <c r="L87" s="13">
        <f t="shared" si="1"/>
        <v>0</v>
      </c>
      <c r="M87" s="13">
        <f t="shared" si="2"/>
        <v>0</v>
      </c>
      <c r="N87" s="13">
        <v>0</v>
      </c>
      <c r="O87" s="10" t="s">
        <v>851</v>
      </c>
      <c r="Z87" s="13">
        <f t="shared" si="3"/>
        <v>0</v>
      </c>
      <c r="AB87" s="13">
        <f t="shared" si="4"/>
        <v>0</v>
      </c>
      <c r="AC87" s="13">
        <f t="shared" si="5"/>
        <v>0</v>
      </c>
      <c r="AD87" s="13">
        <f t="shared" si="6"/>
        <v>0</v>
      </c>
      <c r="AE87" s="13">
        <f t="shared" si="7"/>
        <v>0</v>
      </c>
      <c r="AF87" s="13">
        <f t="shared" si="8"/>
        <v>0</v>
      </c>
      <c r="AG87" s="13">
        <f t="shared" si="9"/>
        <v>0</v>
      </c>
      <c r="AH87" s="13">
        <f t="shared" si="10"/>
        <v>0</v>
      </c>
      <c r="AI87" s="21" t="s">
        <v>103</v>
      </c>
      <c r="AJ87" s="13">
        <f t="shared" si="11"/>
        <v>0</v>
      </c>
      <c r="AK87" s="13">
        <f t="shared" si="12"/>
        <v>0</v>
      </c>
      <c r="AL87" s="13">
        <f t="shared" si="13"/>
        <v>0</v>
      </c>
      <c r="AN87" s="13">
        <v>21</v>
      </c>
      <c r="AO87" s="13">
        <f>J87*0</f>
        <v>0</v>
      </c>
      <c r="AP87" s="13">
        <f>J87*(1-0)</f>
        <v>0</v>
      </c>
      <c r="AQ87" s="32" t="s">
        <v>1231</v>
      </c>
      <c r="AV87" s="13">
        <f t="shared" si="14"/>
        <v>0</v>
      </c>
      <c r="AW87" s="13">
        <f t="shared" si="15"/>
        <v>0</v>
      </c>
      <c r="AX87" s="13">
        <f t="shared" si="16"/>
        <v>0</v>
      </c>
      <c r="AY87" s="32" t="s">
        <v>133</v>
      </c>
      <c r="AZ87" s="32" t="s">
        <v>538</v>
      </c>
      <c r="BA87" s="21" t="s">
        <v>854</v>
      </c>
      <c r="BC87" s="13">
        <f t="shared" si="17"/>
        <v>0</v>
      </c>
      <c r="BD87" s="13">
        <f t="shared" si="18"/>
        <v>0</v>
      </c>
      <c r="BE87" s="13">
        <v>0</v>
      </c>
      <c r="BF87" s="13">
        <f>87</f>
        <v>87</v>
      </c>
      <c r="BH87" s="13">
        <f t="shared" si="19"/>
        <v>0</v>
      </c>
      <c r="BI87" s="13">
        <f t="shared" si="20"/>
        <v>0</v>
      </c>
      <c r="BJ87" s="13">
        <f t="shared" si="21"/>
        <v>0</v>
      </c>
      <c r="BK87" s="13"/>
      <c r="BL87" s="13">
        <v>11</v>
      </c>
    </row>
    <row r="88" spans="1:64" ht="15" customHeight="1">
      <c r="A88" s="11" t="s">
        <v>91</v>
      </c>
      <c r="B88" s="48" t="s">
        <v>103</v>
      </c>
      <c r="C88" s="48" t="s">
        <v>907</v>
      </c>
      <c r="D88" s="61" t="s">
        <v>778</v>
      </c>
      <c r="E88" s="61"/>
      <c r="F88" s="61"/>
      <c r="G88" s="61"/>
      <c r="H88" s="48" t="s">
        <v>1018</v>
      </c>
      <c r="I88" s="13">
        <v>14</v>
      </c>
      <c r="J88" s="13">
        <v>0</v>
      </c>
      <c r="K88" s="13">
        <f t="shared" si="0"/>
        <v>0</v>
      </c>
      <c r="L88" s="13">
        <f t="shared" si="1"/>
        <v>0</v>
      </c>
      <c r="M88" s="13">
        <f t="shared" si="2"/>
        <v>0</v>
      </c>
      <c r="N88" s="13">
        <v>0.02478</v>
      </c>
      <c r="O88" s="10" t="s">
        <v>851</v>
      </c>
      <c r="Z88" s="13">
        <f t="shared" si="3"/>
        <v>0</v>
      </c>
      <c r="AB88" s="13">
        <f t="shared" si="4"/>
        <v>0</v>
      </c>
      <c r="AC88" s="13">
        <f t="shared" si="5"/>
        <v>0</v>
      </c>
      <c r="AD88" s="13">
        <f t="shared" si="6"/>
        <v>0</v>
      </c>
      <c r="AE88" s="13">
        <f t="shared" si="7"/>
        <v>0</v>
      </c>
      <c r="AF88" s="13">
        <f t="shared" si="8"/>
        <v>0</v>
      </c>
      <c r="AG88" s="13">
        <f t="shared" si="9"/>
        <v>0</v>
      </c>
      <c r="AH88" s="13">
        <f t="shared" si="10"/>
        <v>0</v>
      </c>
      <c r="AI88" s="21" t="s">
        <v>103</v>
      </c>
      <c r="AJ88" s="13">
        <f t="shared" si="11"/>
        <v>0</v>
      </c>
      <c r="AK88" s="13">
        <f t="shared" si="12"/>
        <v>0</v>
      </c>
      <c r="AL88" s="13">
        <f t="shared" si="13"/>
        <v>0</v>
      </c>
      <c r="AN88" s="13">
        <v>21</v>
      </c>
      <c r="AO88" s="13">
        <f>J88*0.352956636005256</f>
        <v>0</v>
      </c>
      <c r="AP88" s="13">
        <f>J88*(1-0.352956636005256)</f>
        <v>0</v>
      </c>
      <c r="AQ88" s="32" t="s">
        <v>1231</v>
      </c>
      <c r="AV88" s="13">
        <f t="shared" si="14"/>
        <v>0</v>
      </c>
      <c r="AW88" s="13">
        <f t="shared" si="15"/>
        <v>0</v>
      </c>
      <c r="AX88" s="13">
        <f t="shared" si="16"/>
        <v>0</v>
      </c>
      <c r="AY88" s="32" t="s">
        <v>133</v>
      </c>
      <c r="AZ88" s="32" t="s">
        <v>538</v>
      </c>
      <c r="BA88" s="21" t="s">
        <v>854</v>
      </c>
      <c r="BC88" s="13">
        <f t="shared" si="17"/>
        <v>0</v>
      </c>
      <c r="BD88" s="13">
        <f t="shared" si="18"/>
        <v>0</v>
      </c>
      <c r="BE88" s="13">
        <v>0</v>
      </c>
      <c r="BF88" s="13">
        <f>88</f>
        <v>88</v>
      </c>
      <c r="BH88" s="13">
        <f t="shared" si="19"/>
        <v>0</v>
      </c>
      <c r="BI88" s="13">
        <f t="shared" si="20"/>
        <v>0</v>
      </c>
      <c r="BJ88" s="13">
        <f t="shared" si="21"/>
        <v>0</v>
      </c>
      <c r="BK88" s="13"/>
      <c r="BL88" s="13">
        <v>11</v>
      </c>
    </row>
    <row r="89" spans="1:64" ht="15" customHeight="1">
      <c r="A89" s="11" t="s">
        <v>971</v>
      </c>
      <c r="B89" s="48" t="s">
        <v>103</v>
      </c>
      <c r="C89" s="48" t="s">
        <v>1038</v>
      </c>
      <c r="D89" s="61" t="s">
        <v>1167</v>
      </c>
      <c r="E89" s="61"/>
      <c r="F89" s="61"/>
      <c r="G89" s="61"/>
      <c r="H89" s="48" t="s">
        <v>1018</v>
      </c>
      <c r="I89" s="13">
        <v>29</v>
      </c>
      <c r="J89" s="13">
        <v>0</v>
      </c>
      <c r="K89" s="13">
        <f t="shared" si="0"/>
        <v>0</v>
      </c>
      <c r="L89" s="13">
        <f t="shared" si="1"/>
        <v>0</v>
      </c>
      <c r="M89" s="13">
        <f t="shared" si="2"/>
        <v>0</v>
      </c>
      <c r="N89" s="13">
        <v>0.00869</v>
      </c>
      <c r="O89" s="10" t="s">
        <v>851</v>
      </c>
      <c r="Z89" s="13">
        <f t="shared" si="3"/>
        <v>0</v>
      </c>
      <c r="AB89" s="13">
        <f t="shared" si="4"/>
        <v>0</v>
      </c>
      <c r="AC89" s="13">
        <f t="shared" si="5"/>
        <v>0</v>
      </c>
      <c r="AD89" s="13">
        <f t="shared" si="6"/>
        <v>0</v>
      </c>
      <c r="AE89" s="13">
        <f t="shared" si="7"/>
        <v>0</v>
      </c>
      <c r="AF89" s="13">
        <f t="shared" si="8"/>
        <v>0</v>
      </c>
      <c r="AG89" s="13">
        <f t="shared" si="9"/>
        <v>0</v>
      </c>
      <c r="AH89" s="13">
        <f t="shared" si="10"/>
        <v>0</v>
      </c>
      <c r="AI89" s="21" t="s">
        <v>103</v>
      </c>
      <c r="AJ89" s="13">
        <f t="shared" si="11"/>
        <v>0</v>
      </c>
      <c r="AK89" s="13">
        <f t="shared" si="12"/>
        <v>0</v>
      </c>
      <c r="AL89" s="13">
        <f t="shared" si="13"/>
        <v>0</v>
      </c>
      <c r="AN89" s="13">
        <v>21</v>
      </c>
      <c r="AO89" s="13">
        <f>J89*0.282187147688839</f>
        <v>0</v>
      </c>
      <c r="AP89" s="13">
        <f>J89*(1-0.282187147688839)</f>
        <v>0</v>
      </c>
      <c r="AQ89" s="32" t="s">
        <v>1231</v>
      </c>
      <c r="AV89" s="13">
        <f t="shared" si="14"/>
        <v>0</v>
      </c>
      <c r="AW89" s="13">
        <f t="shared" si="15"/>
        <v>0</v>
      </c>
      <c r="AX89" s="13">
        <f t="shared" si="16"/>
        <v>0</v>
      </c>
      <c r="AY89" s="32" t="s">
        <v>133</v>
      </c>
      <c r="AZ89" s="32" t="s">
        <v>538</v>
      </c>
      <c r="BA89" s="21" t="s">
        <v>854</v>
      </c>
      <c r="BC89" s="13">
        <f t="shared" si="17"/>
        <v>0</v>
      </c>
      <c r="BD89" s="13">
        <f t="shared" si="18"/>
        <v>0</v>
      </c>
      <c r="BE89" s="13">
        <v>0</v>
      </c>
      <c r="BF89" s="13">
        <f>89</f>
        <v>89</v>
      </c>
      <c r="BH89" s="13">
        <f t="shared" si="19"/>
        <v>0</v>
      </c>
      <c r="BI89" s="13">
        <f t="shared" si="20"/>
        <v>0</v>
      </c>
      <c r="BJ89" s="13">
        <f t="shared" si="21"/>
        <v>0</v>
      </c>
      <c r="BK89" s="13"/>
      <c r="BL89" s="13">
        <v>11</v>
      </c>
    </row>
    <row r="90" spans="1:64" ht="15" customHeight="1">
      <c r="A90" s="11" t="s">
        <v>1010</v>
      </c>
      <c r="B90" s="48" t="s">
        <v>103</v>
      </c>
      <c r="C90" s="48" t="s">
        <v>1238</v>
      </c>
      <c r="D90" s="61" t="s">
        <v>1058</v>
      </c>
      <c r="E90" s="61"/>
      <c r="F90" s="61"/>
      <c r="G90" s="61"/>
      <c r="H90" s="48" t="s">
        <v>1018</v>
      </c>
      <c r="I90" s="13">
        <v>84</v>
      </c>
      <c r="J90" s="13">
        <v>0</v>
      </c>
      <c r="K90" s="13">
        <f t="shared" si="0"/>
        <v>0</v>
      </c>
      <c r="L90" s="13">
        <f t="shared" si="1"/>
        <v>0</v>
      </c>
      <c r="M90" s="13">
        <f t="shared" si="2"/>
        <v>0</v>
      </c>
      <c r="N90" s="13">
        <v>0.01271</v>
      </c>
      <c r="O90" s="10" t="s">
        <v>851</v>
      </c>
      <c r="Z90" s="13">
        <f t="shared" si="3"/>
        <v>0</v>
      </c>
      <c r="AB90" s="13">
        <f t="shared" si="4"/>
        <v>0</v>
      </c>
      <c r="AC90" s="13">
        <f t="shared" si="5"/>
        <v>0</v>
      </c>
      <c r="AD90" s="13">
        <f t="shared" si="6"/>
        <v>0</v>
      </c>
      <c r="AE90" s="13">
        <f t="shared" si="7"/>
        <v>0</v>
      </c>
      <c r="AF90" s="13">
        <f t="shared" si="8"/>
        <v>0</v>
      </c>
      <c r="AG90" s="13">
        <f t="shared" si="9"/>
        <v>0</v>
      </c>
      <c r="AH90" s="13">
        <f t="shared" si="10"/>
        <v>0</v>
      </c>
      <c r="AI90" s="21" t="s">
        <v>103</v>
      </c>
      <c r="AJ90" s="13">
        <f t="shared" si="11"/>
        <v>0</v>
      </c>
      <c r="AK90" s="13">
        <f t="shared" si="12"/>
        <v>0</v>
      </c>
      <c r="AL90" s="13">
        <f t="shared" si="13"/>
        <v>0</v>
      </c>
      <c r="AN90" s="13">
        <v>21</v>
      </c>
      <c r="AO90" s="13">
        <f>J90*0.256844997804501</f>
        <v>0</v>
      </c>
      <c r="AP90" s="13">
        <f>J90*(1-0.256844997804501)</f>
        <v>0</v>
      </c>
      <c r="AQ90" s="32" t="s">
        <v>1231</v>
      </c>
      <c r="AV90" s="13">
        <f t="shared" si="14"/>
        <v>0</v>
      </c>
      <c r="AW90" s="13">
        <f t="shared" si="15"/>
        <v>0</v>
      </c>
      <c r="AX90" s="13">
        <f t="shared" si="16"/>
        <v>0</v>
      </c>
      <c r="AY90" s="32" t="s">
        <v>133</v>
      </c>
      <c r="AZ90" s="32" t="s">
        <v>538</v>
      </c>
      <c r="BA90" s="21" t="s">
        <v>854</v>
      </c>
      <c r="BC90" s="13">
        <f t="shared" si="17"/>
        <v>0</v>
      </c>
      <c r="BD90" s="13">
        <f t="shared" si="18"/>
        <v>0</v>
      </c>
      <c r="BE90" s="13">
        <v>0</v>
      </c>
      <c r="BF90" s="13">
        <f>90</f>
        <v>90</v>
      </c>
      <c r="BH90" s="13">
        <f t="shared" si="19"/>
        <v>0</v>
      </c>
      <c r="BI90" s="13">
        <f t="shared" si="20"/>
        <v>0</v>
      </c>
      <c r="BJ90" s="13">
        <f t="shared" si="21"/>
        <v>0</v>
      </c>
      <c r="BK90" s="13"/>
      <c r="BL90" s="13">
        <v>11</v>
      </c>
    </row>
    <row r="91" spans="1:64" ht="15" customHeight="1">
      <c r="A91" s="11" t="s">
        <v>511</v>
      </c>
      <c r="B91" s="48" t="s">
        <v>103</v>
      </c>
      <c r="C91" s="48" t="s">
        <v>728</v>
      </c>
      <c r="D91" s="61" t="s">
        <v>614</v>
      </c>
      <c r="E91" s="61"/>
      <c r="F91" s="61"/>
      <c r="G91" s="61"/>
      <c r="H91" s="48" t="s">
        <v>1216</v>
      </c>
      <c r="I91" s="13">
        <v>419.13</v>
      </c>
      <c r="J91" s="13">
        <v>0</v>
      </c>
      <c r="K91" s="13">
        <f t="shared" si="0"/>
        <v>0</v>
      </c>
      <c r="L91" s="13">
        <f t="shared" si="1"/>
        <v>0</v>
      </c>
      <c r="M91" s="13">
        <f t="shared" si="2"/>
        <v>0</v>
      </c>
      <c r="N91" s="13">
        <v>0</v>
      </c>
      <c r="O91" s="10" t="s">
        <v>851</v>
      </c>
      <c r="Z91" s="13">
        <f t="shared" si="3"/>
        <v>0</v>
      </c>
      <c r="AB91" s="13">
        <f t="shared" si="4"/>
        <v>0</v>
      </c>
      <c r="AC91" s="13">
        <f t="shared" si="5"/>
        <v>0</v>
      </c>
      <c r="AD91" s="13">
        <f t="shared" si="6"/>
        <v>0</v>
      </c>
      <c r="AE91" s="13">
        <f t="shared" si="7"/>
        <v>0</v>
      </c>
      <c r="AF91" s="13">
        <f t="shared" si="8"/>
        <v>0</v>
      </c>
      <c r="AG91" s="13">
        <f t="shared" si="9"/>
        <v>0</v>
      </c>
      <c r="AH91" s="13">
        <f t="shared" si="10"/>
        <v>0</v>
      </c>
      <c r="AI91" s="21" t="s">
        <v>103</v>
      </c>
      <c r="AJ91" s="13">
        <f t="shared" si="11"/>
        <v>0</v>
      </c>
      <c r="AK91" s="13">
        <f t="shared" si="12"/>
        <v>0</v>
      </c>
      <c r="AL91" s="13">
        <f t="shared" si="13"/>
        <v>0</v>
      </c>
      <c r="AN91" s="13">
        <v>21</v>
      </c>
      <c r="AO91" s="13">
        <f>J91*0</f>
        <v>0</v>
      </c>
      <c r="AP91" s="13">
        <f>J91*(1-0)</f>
        <v>0</v>
      </c>
      <c r="AQ91" s="32" t="s">
        <v>1231</v>
      </c>
      <c r="AV91" s="13">
        <f t="shared" si="14"/>
        <v>0</v>
      </c>
      <c r="AW91" s="13">
        <f t="shared" si="15"/>
        <v>0</v>
      </c>
      <c r="AX91" s="13">
        <f t="shared" si="16"/>
        <v>0</v>
      </c>
      <c r="AY91" s="32" t="s">
        <v>133</v>
      </c>
      <c r="AZ91" s="32" t="s">
        <v>538</v>
      </c>
      <c r="BA91" s="21" t="s">
        <v>854</v>
      </c>
      <c r="BC91" s="13">
        <f t="shared" si="17"/>
        <v>0</v>
      </c>
      <c r="BD91" s="13">
        <f t="shared" si="18"/>
        <v>0</v>
      </c>
      <c r="BE91" s="13">
        <v>0</v>
      </c>
      <c r="BF91" s="13">
        <f>91</f>
        <v>91</v>
      </c>
      <c r="BH91" s="13">
        <f t="shared" si="19"/>
        <v>0</v>
      </c>
      <c r="BI91" s="13">
        <f t="shared" si="20"/>
        <v>0</v>
      </c>
      <c r="BJ91" s="13">
        <f t="shared" si="21"/>
        <v>0</v>
      </c>
      <c r="BK91" s="13"/>
      <c r="BL91" s="13">
        <v>11</v>
      </c>
    </row>
    <row r="92" spans="1:64" ht="15" customHeight="1">
      <c r="A92" s="11" t="s">
        <v>500</v>
      </c>
      <c r="B92" s="48" t="s">
        <v>103</v>
      </c>
      <c r="C92" s="48" t="s">
        <v>1389</v>
      </c>
      <c r="D92" s="61" t="s">
        <v>708</v>
      </c>
      <c r="E92" s="61"/>
      <c r="F92" s="61"/>
      <c r="G92" s="61"/>
      <c r="H92" s="48" t="s">
        <v>1216</v>
      </c>
      <c r="I92" s="13">
        <v>419.13</v>
      </c>
      <c r="J92" s="13">
        <v>0</v>
      </c>
      <c r="K92" s="13">
        <f t="shared" si="0"/>
        <v>0</v>
      </c>
      <c r="L92" s="13">
        <f t="shared" si="1"/>
        <v>0</v>
      </c>
      <c r="M92" s="13">
        <f t="shared" si="2"/>
        <v>0</v>
      </c>
      <c r="N92" s="13">
        <v>0</v>
      </c>
      <c r="O92" s="10" t="s">
        <v>851</v>
      </c>
      <c r="Z92" s="13">
        <f t="shared" si="3"/>
        <v>0</v>
      </c>
      <c r="AB92" s="13">
        <f t="shared" si="4"/>
        <v>0</v>
      </c>
      <c r="AC92" s="13">
        <f t="shared" si="5"/>
        <v>0</v>
      </c>
      <c r="AD92" s="13">
        <f t="shared" si="6"/>
        <v>0</v>
      </c>
      <c r="AE92" s="13">
        <f t="shared" si="7"/>
        <v>0</v>
      </c>
      <c r="AF92" s="13">
        <f t="shared" si="8"/>
        <v>0</v>
      </c>
      <c r="AG92" s="13">
        <f t="shared" si="9"/>
        <v>0</v>
      </c>
      <c r="AH92" s="13">
        <f t="shared" si="10"/>
        <v>0</v>
      </c>
      <c r="AI92" s="21" t="s">
        <v>103</v>
      </c>
      <c r="AJ92" s="13">
        <f t="shared" si="11"/>
        <v>0</v>
      </c>
      <c r="AK92" s="13">
        <f t="shared" si="12"/>
        <v>0</v>
      </c>
      <c r="AL92" s="13">
        <f t="shared" si="13"/>
        <v>0</v>
      </c>
      <c r="AN92" s="13">
        <v>21</v>
      </c>
      <c r="AO92" s="13">
        <f>J92*0</f>
        <v>0</v>
      </c>
      <c r="AP92" s="13">
        <f>J92*(1-0)</f>
        <v>0</v>
      </c>
      <c r="AQ92" s="32" t="s">
        <v>1231</v>
      </c>
      <c r="AV92" s="13">
        <f t="shared" si="14"/>
        <v>0</v>
      </c>
      <c r="AW92" s="13">
        <f t="shared" si="15"/>
        <v>0</v>
      </c>
      <c r="AX92" s="13">
        <f t="shared" si="16"/>
        <v>0</v>
      </c>
      <c r="AY92" s="32" t="s">
        <v>133</v>
      </c>
      <c r="AZ92" s="32" t="s">
        <v>538</v>
      </c>
      <c r="BA92" s="21" t="s">
        <v>854</v>
      </c>
      <c r="BC92" s="13">
        <f t="shared" si="17"/>
        <v>0</v>
      </c>
      <c r="BD92" s="13">
        <f t="shared" si="18"/>
        <v>0</v>
      </c>
      <c r="BE92" s="13">
        <v>0</v>
      </c>
      <c r="BF92" s="13">
        <f>92</f>
        <v>92</v>
      </c>
      <c r="BH92" s="13">
        <f t="shared" si="19"/>
        <v>0</v>
      </c>
      <c r="BI92" s="13">
        <f t="shared" si="20"/>
        <v>0</v>
      </c>
      <c r="BJ92" s="13">
        <f t="shared" si="21"/>
        <v>0</v>
      </c>
      <c r="BK92" s="13"/>
      <c r="BL92" s="13">
        <v>11</v>
      </c>
    </row>
    <row r="93" spans="1:64" ht="15" customHeight="1">
      <c r="A93" s="11" t="s">
        <v>561</v>
      </c>
      <c r="B93" s="48" t="s">
        <v>103</v>
      </c>
      <c r="C93" s="48" t="s">
        <v>279</v>
      </c>
      <c r="D93" s="61" t="s">
        <v>404</v>
      </c>
      <c r="E93" s="61"/>
      <c r="F93" s="61"/>
      <c r="G93" s="61"/>
      <c r="H93" s="48" t="s">
        <v>553</v>
      </c>
      <c r="I93" s="13">
        <v>97.0405</v>
      </c>
      <c r="J93" s="13">
        <v>0</v>
      </c>
      <c r="K93" s="13">
        <f t="shared" si="0"/>
        <v>0</v>
      </c>
      <c r="L93" s="13">
        <f t="shared" si="1"/>
        <v>0</v>
      </c>
      <c r="M93" s="13">
        <f t="shared" si="2"/>
        <v>0</v>
      </c>
      <c r="N93" s="13">
        <v>0</v>
      </c>
      <c r="O93" s="10" t="s">
        <v>851</v>
      </c>
      <c r="Z93" s="13">
        <f t="shared" si="3"/>
        <v>0</v>
      </c>
      <c r="AB93" s="13">
        <f t="shared" si="4"/>
        <v>0</v>
      </c>
      <c r="AC93" s="13">
        <f t="shared" si="5"/>
        <v>0</v>
      </c>
      <c r="AD93" s="13">
        <f t="shared" si="6"/>
        <v>0</v>
      </c>
      <c r="AE93" s="13">
        <f t="shared" si="7"/>
        <v>0</v>
      </c>
      <c r="AF93" s="13">
        <f t="shared" si="8"/>
        <v>0</v>
      </c>
      <c r="AG93" s="13">
        <f t="shared" si="9"/>
        <v>0</v>
      </c>
      <c r="AH93" s="13">
        <f t="shared" si="10"/>
        <v>0</v>
      </c>
      <c r="AI93" s="21" t="s">
        <v>103</v>
      </c>
      <c r="AJ93" s="13">
        <f t="shared" si="11"/>
        <v>0</v>
      </c>
      <c r="AK93" s="13">
        <f t="shared" si="12"/>
        <v>0</v>
      </c>
      <c r="AL93" s="13">
        <f t="shared" si="13"/>
        <v>0</v>
      </c>
      <c r="AN93" s="13">
        <v>21</v>
      </c>
      <c r="AO93" s="13">
        <f>J93*0</f>
        <v>0</v>
      </c>
      <c r="AP93" s="13">
        <f>J93*(1-0)</f>
        <v>0</v>
      </c>
      <c r="AQ93" s="32" t="s">
        <v>654</v>
      </c>
      <c r="AV93" s="13">
        <f t="shared" si="14"/>
        <v>0</v>
      </c>
      <c r="AW93" s="13">
        <f t="shared" si="15"/>
        <v>0</v>
      </c>
      <c r="AX93" s="13">
        <f t="shared" si="16"/>
        <v>0</v>
      </c>
      <c r="AY93" s="32" t="s">
        <v>133</v>
      </c>
      <c r="AZ93" s="32" t="s">
        <v>538</v>
      </c>
      <c r="BA93" s="21" t="s">
        <v>854</v>
      </c>
      <c r="BC93" s="13">
        <f t="shared" si="17"/>
        <v>0</v>
      </c>
      <c r="BD93" s="13">
        <f t="shared" si="18"/>
        <v>0</v>
      </c>
      <c r="BE93" s="13">
        <v>0</v>
      </c>
      <c r="BF93" s="13">
        <f>93</f>
        <v>93</v>
      </c>
      <c r="BH93" s="13">
        <f t="shared" si="19"/>
        <v>0</v>
      </c>
      <c r="BI93" s="13">
        <f t="shared" si="20"/>
        <v>0</v>
      </c>
      <c r="BJ93" s="13">
        <f t="shared" si="21"/>
        <v>0</v>
      </c>
      <c r="BK93" s="13"/>
      <c r="BL93" s="13">
        <v>11</v>
      </c>
    </row>
    <row r="94" spans="1:47" ht="15" customHeight="1">
      <c r="A94" s="30" t="s">
        <v>862</v>
      </c>
      <c r="B94" s="18" t="s">
        <v>103</v>
      </c>
      <c r="C94" s="18" t="s">
        <v>916</v>
      </c>
      <c r="D94" s="73" t="s">
        <v>301</v>
      </c>
      <c r="E94" s="73"/>
      <c r="F94" s="73"/>
      <c r="G94" s="73"/>
      <c r="H94" s="15" t="s">
        <v>1148</v>
      </c>
      <c r="I94" s="15" t="s">
        <v>1148</v>
      </c>
      <c r="J94" s="15" t="s">
        <v>1148</v>
      </c>
      <c r="K94" s="56">
        <f>SUM(K95:K95)</f>
        <v>0</v>
      </c>
      <c r="L94" s="56">
        <f>SUM(L95:L95)</f>
        <v>0</v>
      </c>
      <c r="M94" s="56">
        <f>SUM(M95:M95)</f>
        <v>0</v>
      </c>
      <c r="N94" s="21" t="s">
        <v>862</v>
      </c>
      <c r="O94" s="47" t="s">
        <v>862</v>
      </c>
      <c r="AI94" s="21" t="s">
        <v>103</v>
      </c>
      <c r="AS94" s="56">
        <f>SUM(AJ95:AJ95)</f>
        <v>0</v>
      </c>
      <c r="AT94" s="56">
        <f>SUM(AK95:AK95)</f>
        <v>0</v>
      </c>
      <c r="AU94" s="56">
        <f>SUM(AL95:AL95)</f>
        <v>0</v>
      </c>
    </row>
    <row r="95" spans="1:64" ht="15" customHeight="1">
      <c r="A95" s="11" t="s">
        <v>1145</v>
      </c>
      <c r="B95" s="48" t="s">
        <v>103</v>
      </c>
      <c r="C95" s="48" t="s">
        <v>1121</v>
      </c>
      <c r="D95" s="61" t="s">
        <v>314</v>
      </c>
      <c r="E95" s="61"/>
      <c r="F95" s="61"/>
      <c r="G95" s="61"/>
      <c r="H95" s="48" t="s">
        <v>1195</v>
      </c>
      <c r="I95" s="13">
        <v>52</v>
      </c>
      <c r="J95" s="13">
        <v>0</v>
      </c>
      <c r="K95" s="13">
        <f>I95*AO95</f>
        <v>0</v>
      </c>
      <c r="L95" s="13">
        <f>I95*AP95</f>
        <v>0</v>
      </c>
      <c r="M95" s="13">
        <f>I95*J95</f>
        <v>0</v>
      </c>
      <c r="N95" s="13">
        <v>0</v>
      </c>
      <c r="O95" s="10" t="s">
        <v>851</v>
      </c>
      <c r="Z95" s="13">
        <f>IF(AQ95="5",BJ95,0)</f>
        <v>0</v>
      </c>
      <c r="AB95" s="13">
        <f>IF(AQ95="1",BH95,0)</f>
        <v>0</v>
      </c>
      <c r="AC95" s="13">
        <f>IF(AQ95="1",BI95,0)</f>
        <v>0</v>
      </c>
      <c r="AD95" s="13">
        <f>IF(AQ95="7",BH95,0)</f>
        <v>0</v>
      </c>
      <c r="AE95" s="13">
        <f>IF(AQ95="7",BI95,0)</f>
        <v>0</v>
      </c>
      <c r="AF95" s="13">
        <f>IF(AQ95="2",BH95,0)</f>
        <v>0</v>
      </c>
      <c r="AG95" s="13">
        <f>IF(AQ95="2",BI95,0)</f>
        <v>0</v>
      </c>
      <c r="AH95" s="13">
        <f>IF(AQ95="0",BJ95,0)</f>
        <v>0</v>
      </c>
      <c r="AI95" s="21" t="s">
        <v>103</v>
      </c>
      <c r="AJ95" s="13">
        <f>IF(AN95=0,M95,0)</f>
        <v>0</v>
      </c>
      <c r="AK95" s="13">
        <f>IF(AN95=15,M95,0)</f>
        <v>0</v>
      </c>
      <c r="AL95" s="13">
        <f>IF(AN95=21,M95,0)</f>
        <v>0</v>
      </c>
      <c r="AN95" s="13">
        <v>21</v>
      </c>
      <c r="AO95" s="13">
        <f>J95*0</f>
        <v>0</v>
      </c>
      <c r="AP95" s="13">
        <f>J95*(1-0)</f>
        <v>0</v>
      </c>
      <c r="AQ95" s="32" t="s">
        <v>1231</v>
      </c>
      <c r="AV95" s="13">
        <f>AW95+AX95</f>
        <v>0</v>
      </c>
      <c r="AW95" s="13">
        <f>I95*AO95</f>
        <v>0</v>
      </c>
      <c r="AX95" s="13">
        <f>I95*AP95</f>
        <v>0</v>
      </c>
      <c r="AY95" s="32" t="s">
        <v>616</v>
      </c>
      <c r="AZ95" s="32" t="s">
        <v>538</v>
      </c>
      <c r="BA95" s="21" t="s">
        <v>854</v>
      </c>
      <c r="BC95" s="13">
        <f>AW95+AX95</f>
        <v>0</v>
      </c>
      <c r="BD95" s="13">
        <f>J95/(100-BE95)*100</f>
        <v>0</v>
      </c>
      <c r="BE95" s="13">
        <v>0</v>
      </c>
      <c r="BF95" s="13">
        <f>95</f>
        <v>95</v>
      </c>
      <c r="BH95" s="13">
        <f>I95*AO95</f>
        <v>0</v>
      </c>
      <c r="BI95" s="13">
        <f>I95*AP95</f>
        <v>0</v>
      </c>
      <c r="BJ95" s="13">
        <f>I95*J95</f>
        <v>0</v>
      </c>
      <c r="BK95" s="13"/>
      <c r="BL95" s="13">
        <v>12</v>
      </c>
    </row>
    <row r="96" spans="1:47" ht="15" customHeight="1">
      <c r="A96" s="30" t="s">
        <v>862</v>
      </c>
      <c r="B96" s="18" t="s">
        <v>103</v>
      </c>
      <c r="C96" s="18" t="s">
        <v>356</v>
      </c>
      <c r="D96" s="73" t="s">
        <v>11</v>
      </c>
      <c r="E96" s="73"/>
      <c r="F96" s="73"/>
      <c r="G96" s="73"/>
      <c r="H96" s="15" t="s">
        <v>1148</v>
      </c>
      <c r="I96" s="15" t="s">
        <v>1148</v>
      </c>
      <c r="J96" s="15" t="s">
        <v>1148</v>
      </c>
      <c r="K96" s="56">
        <f>SUM(K97:K100)</f>
        <v>0</v>
      </c>
      <c r="L96" s="56">
        <f>SUM(L97:L100)</f>
        <v>0</v>
      </c>
      <c r="M96" s="56">
        <f>SUM(M97:M100)</f>
        <v>0</v>
      </c>
      <c r="N96" s="21" t="s">
        <v>862</v>
      </c>
      <c r="O96" s="47" t="s">
        <v>862</v>
      </c>
      <c r="AI96" s="21" t="s">
        <v>103</v>
      </c>
      <c r="AS96" s="56">
        <f>SUM(AJ97:AJ100)</f>
        <v>0</v>
      </c>
      <c r="AT96" s="56">
        <f>SUM(AK97:AK100)</f>
        <v>0</v>
      </c>
      <c r="AU96" s="56">
        <f>SUM(AL97:AL100)</f>
        <v>0</v>
      </c>
    </row>
    <row r="97" spans="1:64" ht="15" customHeight="1">
      <c r="A97" s="11" t="s">
        <v>819</v>
      </c>
      <c r="B97" s="48" t="s">
        <v>103</v>
      </c>
      <c r="C97" s="48" t="s">
        <v>1101</v>
      </c>
      <c r="D97" s="61" t="s">
        <v>168</v>
      </c>
      <c r="E97" s="61"/>
      <c r="F97" s="61"/>
      <c r="G97" s="61"/>
      <c r="H97" s="48" t="s">
        <v>1195</v>
      </c>
      <c r="I97" s="13">
        <v>736.3</v>
      </c>
      <c r="J97" s="13">
        <v>0</v>
      </c>
      <c r="K97" s="13">
        <f>I97*AO97</f>
        <v>0</v>
      </c>
      <c r="L97" s="13">
        <f>I97*AP97</f>
        <v>0</v>
      </c>
      <c r="M97" s="13">
        <f>I97*J97</f>
        <v>0</v>
      </c>
      <c r="N97" s="13">
        <v>0</v>
      </c>
      <c r="O97" s="10" t="s">
        <v>851</v>
      </c>
      <c r="Z97" s="13">
        <f>IF(AQ97="5",BJ97,0)</f>
        <v>0</v>
      </c>
      <c r="AB97" s="13">
        <f>IF(AQ97="1",BH97,0)</f>
        <v>0</v>
      </c>
      <c r="AC97" s="13">
        <f>IF(AQ97="1",BI97,0)</f>
        <v>0</v>
      </c>
      <c r="AD97" s="13">
        <f>IF(AQ97="7",BH97,0)</f>
        <v>0</v>
      </c>
      <c r="AE97" s="13">
        <f>IF(AQ97="7",BI97,0)</f>
        <v>0</v>
      </c>
      <c r="AF97" s="13">
        <f>IF(AQ97="2",BH97,0)</f>
        <v>0</v>
      </c>
      <c r="AG97" s="13">
        <f>IF(AQ97="2",BI97,0)</f>
        <v>0</v>
      </c>
      <c r="AH97" s="13">
        <f>IF(AQ97="0",BJ97,0)</f>
        <v>0</v>
      </c>
      <c r="AI97" s="21" t="s">
        <v>103</v>
      </c>
      <c r="AJ97" s="13">
        <f>IF(AN97=0,M97,0)</f>
        <v>0</v>
      </c>
      <c r="AK97" s="13">
        <f>IF(AN97=15,M97,0)</f>
        <v>0</v>
      </c>
      <c r="AL97" s="13">
        <f>IF(AN97=21,M97,0)</f>
        <v>0</v>
      </c>
      <c r="AN97" s="13">
        <v>21</v>
      </c>
      <c r="AO97" s="13">
        <f>J97*0</f>
        <v>0</v>
      </c>
      <c r="AP97" s="13">
        <f>J97*(1-0)</f>
        <v>0</v>
      </c>
      <c r="AQ97" s="32" t="s">
        <v>1231</v>
      </c>
      <c r="AV97" s="13">
        <f>AW97+AX97</f>
        <v>0</v>
      </c>
      <c r="AW97" s="13">
        <f>I97*AO97</f>
        <v>0</v>
      </c>
      <c r="AX97" s="13">
        <f>I97*AP97</f>
        <v>0</v>
      </c>
      <c r="AY97" s="32" t="s">
        <v>1116</v>
      </c>
      <c r="AZ97" s="32" t="s">
        <v>538</v>
      </c>
      <c r="BA97" s="21" t="s">
        <v>854</v>
      </c>
      <c r="BC97" s="13">
        <f>AW97+AX97</f>
        <v>0</v>
      </c>
      <c r="BD97" s="13">
        <f>J97/(100-BE97)*100</f>
        <v>0</v>
      </c>
      <c r="BE97" s="13">
        <v>0</v>
      </c>
      <c r="BF97" s="13">
        <f>97</f>
        <v>97</v>
      </c>
      <c r="BH97" s="13">
        <f>I97*AO97</f>
        <v>0</v>
      </c>
      <c r="BI97" s="13">
        <f>I97*AP97</f>
        <v>0</v>
      </c>
      <c r="BJ97" s="13">
        <f>I97*J97</f>
        <v>0</v>
      </c>
      <c r="BK97" s="13"/>
      <c r="BL97" s="13">
        <v>13</v>
      </c>
    </row>
    <row r="98" spans="1:64" ht="15" customHeight="1">
      <c r="A98" s="11" t="s">
        <v>783</v>
      </c>
      <c r="B98" s="48" t="s">
        <v>103</v>
      </c>
      <c r="C98" s="48" t="s">
        <v>433</v>
      </c>
      <c r="D98" s="61" t="s">
        <v>1263</v>
      </c>
      <c r="E98" s="61"/>
      <c r="F98" s="61"/>
      <c r="G98" s="61"/>
      <c r="H98" s="48" t="s">
        <v>1195</v>
      </c>
      <c r="I98" s="13">
        <v>102</v>
      </c>
      <c r="J98" s="13">
        <v>0</v>
      </c>
      <c r="K98" s="13">
        <f>I98*AO98</f>
        <v>0</v>
      </c>
      <c r="L98" s="13">
        <f>I98*AP98</f>
        <v>0</v>
      </c>
      <c r="M98" s="13">
        <f>I98*J98</f>
        <v>0</v>
      </c>
      <c r="N98" s="13">
        <v>0</v>
      </c>
      <c r="O98" s="10" t="s">
        <v>851</v>
      </c>
      <c r="Z98" s="13">
        <f>IF(AQ98="5",BJ98,0)</f>
        <v>0</v>
      </c>
      <c r="AB98" s="13">
        <f>IF(AQ98="1",BH98,0)</f>
        <v>0</v>
      </c>
      <c r="AC98" s="13">
        <f>IF(AQ98="1",BI98,0)</f>
        <v>0</v>
      </c>
      <c r="AD98" s="13">
        <f>IF(AQ98="7",BH98,0)</f>
        <v>0</v>
      </c>
      <c r="AE98" s="13">
        <f>IF(AQ98="7",BI98,0)</f>
        <v>0</v>
      </c>
      <c r="AF98" s="13">
        <f>IF(AQ98="2",BH98,0)</f>
        <v>0</v>
      </c>
      <c r="AG98" s="13">
        <f>IF(AQ98="2",BI98,0)</f>
        <v>0</v>
      </c>
      <c r="AH98" s="13">
        <f>IF(AQ98="0",BJ98,0)</f>
        <v>0</v>
      </c>
      <c r="AI98" s="21" t="s">
        <v>103</v>
      </c>
      <c r="AJ98" s="13">
        <f>IF(AN98=0,M98,0)</f>
        <v>0</v>
      </c>
      <c r="AK98" s="13">
        <f>IF(AN98=15,M98,0)</f>
        <v>0</v>
      </c>
      <c r="AL98" s="13">
        <f>IF(AN98=21,M98,0)</f>
        <v>0</v>
      </c>
      <c r="AN98" s="13">
        <v>21</v>
      </c>
      <c r="AO98" s="13">
        <f>J98*0</f>
        <v>0</v>
      </c>
      <c r="AP98" s="13">
        <f>J98*(1-0)</f>
        <v>0</v>
      </c>
      <c r="AQ98" s="32" t="s">
        <v>1231</v>
      </c>
      <c r="AV98" s="13">
        <f>AW98+AX98</f>
        <v>0</v>
      </c>
      <c r="AW98" s="13">
        <f>I98*AO98</f>
        <v>0</v>
      </c>
      <c r="AX98" s="13">
        <f>I98*AP98</f>
        <v>0</v>
      </c>
      <c r="AY98" s="32" t="s">
        <v>1116</v>
      </c>
      <c r="AZ98" s="32" t="s">
        <v>538</v>
      </c>
      <c r="BA98" s="21" t="s">
        <v>854</v>
      </c>
      <c r="BC98" s="13">
        <f>AW98+AX98</f>
        <v>0</v>
      </c>
      <c r="BD98" s="13">
        <f>J98/(100-BE98)*100</f>
        <v>0</v>
      </c>
      <c r="BE98" s="13">
        <v>0</v>
      </c>
      <c r="BF98" s="13">
        <f>98</f>
        <v>98</v>
      </c>
      <c r="BH98" s="13">
        <f>I98*AO98</f>
        <v>0</v>
      </c>
      <c r="BI98" s="13">
        <f>I98*AP98</f>
        <v>0</v>
      </c>
      <c r="BJ98" s="13">
        <f>I98*J98</f>
        <v>0</v>
      </c>
      <c r="BK98" s="13"/>
      <c r="BL98" s="13">
        <v>13</v>
      </c>
    </row>
    <row r="99" spans="1:64" ht="15" customHeight="1">
      <c r="A99" s="11" t="s">
        <v>1178</v>
      </c>
      <c r="B99" s="48" t="s">
        <v>103</v>
      </c>
      <c r="C99" s="48" t="s">
        <v>1101</v>
      </c>
      <c r="D99" s="61" t="s">
        <v>168</v>
      </c>
      <c r="E99" s="61"/>
      <c r="F99" s="61"/>
      <c r="G99" s="61"/>
      <c r="H99" s="48" t="s">
        <v>1195</v>
      </c>
      <c r="I99" s="13">
        <v>677.178</v>
      </c>
      <c r="J99" s="13">
        <v>0</v>
      </c>
      <c r="K99" s="13">
        <f>I99*AO99</f>
        <v>0</v>
      </c>
      <c r="L99" s="13">
        <f>I99*AP99</f>
        <v>0</v>
      </c>
      <c r="M99" s="13">
        <f>I99*J99</f>
        <v>0</v>
      </c>
      <c r="N99" s="13">
        <v>0</v>
      </c>
      <c r="O99" s="10" t="s">
        <v>851</v>
      </c>
      <c r="Z99" s="13">
        <f>IF(AQ99="5",BJ99,0)</f>
        <v>0</v>
      </c>
      <c r="AB99" s="13">
        <f>IF(AQ99="1",BH99,0)</f>
        <v>0</v>
      </c>
      <c r="AC99" s="13">
        <f>IF(AQ99="1",BI99,0)</f>
        <v>0</v>
      </c>
      <c r="AD99" s="13">
        <f>IF(AQ99="7",BH99,0)</f>
        <v>0</v>
      </c>
      <c r="AE99" s="13">
        <f>IF(AQ99="7",BI99,0)</f>
        <v>0</v>
      </c>
      <c r="AF99" s="13">
        <f>IF(AQ99="2",BH99,0)</f>
        <v>0</v>
      </c>
      <c r="AG99" s="13">
        <f>IF(AQ99="2",BI99,0)</f>
        <v>0</v>
      </c>
      <c r="AH99" s="13">
        <f>IF(AQ99="0",BJ99,0)</f>
        <v>0</v>
      </c>
      <c r="AI99" s="21" t="s">
        <v>103</v>
      </c>
      <c r="AJ99" s="13">
        <f>IF(AN99=0,M99,0)</f>
        <v>0</v>
      </c>
      <c r="AK99" s="13">
        <f>IF(AN99=15,M99,0)</f>
        <v>0</v>
      </c>
      <c r="AL99" s="13">
        <f>IF(AN99=21,M99,0)</f>
        <v>0</v>
      </c>
      <c r="AN99" s="13">
        <v>21</v>
      </c>
      <c r="AO99" s="13">
        <f>J99*0</f>
        <v>0</v>
      </c>
      <c r="AP99" s="13">
        <f>J99*(1-0)</f>
        <v>0</v>
      </c>
      <c r="AQ99" s="32" t="s">
        <v>1231</v>
      </c>
      <c r="AV99" s="13">
        <f>AW99+AX99</f>
        <v>0</v>
      </c>
      <c r="AW99" s="13">
        <f>I99*AO99</f>
        <v>0</v>
      </c>
      <c r="AX99" s="13">
        <f>I99*AP99</f>
        <v>0</v>
      </c>
      <c r="AY99" s="32" t="s">
        <v>1116</v>
      </c>
      <c r="AZ99" s="32" t="s">
        <v>538</v>
      </c>
      <c r="BA99" s="21" t="s">
        <v>854</v>
      </c>
      <c r="BC99" s="13">
        <f>AW99+AX99</f>
        <v>0</v>
      </c>
      <c r="BD99" s="13">
        <f>J99/(100-BE99)*100</f>
        <v>0</v>
      </c>
      <c r="BE99" s="13">
        <v>0</v>
      </c>
      <c r="BF99" s="13">
        <f>99</f>
        <v>99</v>
      </c>
      <c r="BH99" s="13">
        <f>I99*AO99</f>
        <v>0</v>
      </c>
      <c r="BI99" s="13">
        <f>I99*AP99</f>
        <v>0</v>
      </c>
      <c r="BJ99" s="13">
        <f>I99*J99</f>
        <v>0</v>
      </c>
      <c r="BK99" s="13"/>
      <c r="BL99" s="13">
        <v>13</v>
      </c>
    </row>
    <row r="100" spans="1:64" ht="15" customHeight="1">
      <c r="A100" s="11" t="s">
        <v>721</v>
      </c>
      <c r="B100" s="48" t="s">
        <v>103</v>
      </c>
      <c r="C100" s="48" t="s">
        <v>433</v>
      </c>
      <c r="D100" s="61" t="s">
        <v>1263</v>
      </c>
      <c r="E100" s="61"/>
      <c r="F100" s="61"/>
      <c r="G100" s="61"/>
      <c r="H100" s="48" t="s">
        <v>1195</v>
      </c>
      <c r="I100" s="13">
        <v>267.3</v>
      </c>
      <c r="J100" s="13">
        <v>0</v>
      </c>
      <c r="K100" s="13">
        <f>I100*AO100</f>
        <v>0</v>
      </c>
      <c r="L100" s="13">
        <f>I100*AP100</f>
        <v>0</v>
      </c>
      <c r="M100" s="13">
        <f>I100*J100</f>
        <v>0</v>
      </c>
      <c r="N100" s="13">
        <v>0</v>
      </c>
      <c r="O100" s="10" t="s">
        <v>851</v>
      </c>
      <c r="Z100" s="13">
        <f>IF(AQ100="5",BJ100,0)</f>
        <v>0</v>
      </c>
      <c r="AB100" s="13">
        <f>IF(AQ100="1",BH100,0)</f>
        <v>0</v>
      </c>
      <c r="AC100" s="13">
        <f>IF(AQ100="1",BI100,0)</f>
        <v>0</v>
      </c>
      <c r="AD100" s="13">
        <f>IF(AQ100="7",BH100,0)</f>
        <v>0</v>
      </c>
      <c r="AE100" s="13">
        <f>IF(AQ100="7",BI100,0)</f>
        <v>0</v>
      </c>
      <c r="AF100" s="13">
        <f>IF(AQ100="2",BH100,0)</f>
        <v>0</v>
      </c>
      <c r="AG100" s="13">
        <f>IF(AQ100="2",BI100,0)</f>
        <v>0</v>
      </c>
      <c r="AH100" s="13">
        <f>IF(AQ100="0",BJ100,0)</f>
        <v>0</v>
      </c>
      <c r="AI100" s="21" t="s">
        <v>103</v>
      </c>
      <c r="AJ100" s="13">
        <f>IF(AN100=0,M100,0)</f>
        <v>0</v>
      </c>
      <c r="AK100" s="13">
        <f>IF(AN100=15,M100,0)</f>
        <v>0</v>
      </c>
      <c r="AL100" s="13">
        <f>IF(AN100=21,M100,0)</f>
        <v>0</v>
      </c>
      <c r="AN100" s="13">
        <v>21</v>
      </c>
      <c r="AO100" s="13">
        <f>J100*0</f>
        <v>0</v>
      </c>
      <c r="AP100" s="13">
        <f>J100*(1-0)</f>
        <v>0</v>
      </c>
      <c r="AQ100" s="32" t="s">
        <v>1231</v>
      </c>
      <c r="AV100" s="13">
        <f>AW100+AX100</f>
        <v>0</v>
      </c>
      <c r="AW100" s="13">
        <f>I100*AO100</f>
        <v>0</v>
      </c>
      <c r="AX100" s="13">
        <f>I100*AP100</f>
        <v>0</v>
      </c>
      <c r="AY100" s="32" t="s">
        <v>1116</v>
      </c>
      <c r="AZ100" s="32" t="s">
        <v>538</v>
      </c>
      <c r="BA100" s="21" t="s">
        <v>854</v>
      </c>
      <c r="BC100" s="13">
        <f>AW100+AX100</f>
        <v>0</v>
      </c>
      <c r="BD100" s="13">
        <f>J100/(100-BE100)*100</f>
        <v>0</v>
      </c>
      <c r="BE100" s="13">
        <v>0</v>
      </c>
      <c r="BF100" s="13">
        <f>100</f>
        <v>100</v>
      </c>
      <c r="BH100" s="13">
        <f>I100*AO100</f>
        <v>0</v>
      </c>
      <c r="BI100" s="13">
        <f>I100*AP100</f>
        <v>0</v>
      </c>
      <c r="BJ100" s="13">
        <f>I100*J100</f>
        <v>0</v>
      </c>
      <c r="BK100" s="13"/>
      <c r="BL100" s="13">
        <v>13</v>
      </c>
    </row>
    <row r="101" spans="1:47" ht="15" customHeight="1">
      <c r="A101" s="30" t="s">
        <v>862</v>
      </c>
      <c r="B101" s="18" t="s">
        <v>103</v>
      </c>
      <c r="C101" s="18" t="s">
        <v>733</v>
      </c>
      <c r="D101" s="73" t="s">
        <v>712</v>
      </c>
      <c r="E101" s="73"/>
      <c r="F101" s="73"/>
      <c r="G101" s="73"/>
      <c r="H101" s="15" t="s">
        <v>1148</v>
      </c>
      <c r="I101" s="15" t="s">
        <v>1148</v>
      </c>
      <c r="J101" s="15" t="s">
        <v>1148</v>
      </c>
      <c r="K101" s="56">
        <f>SUM(K102:K103)</f>
        <v>0</v>
      </c>
      <c r="L101" s="56">
        <f>SUM(L102:L103)</f>
        <v>0</v>
      </c>
      <c r="M101" s="56">
        <f>SUM(M102:M103)</f>
        <v>0</v>
      </c>
      <c r="N101" s="21" t="s">
        <v>862</v>
      </c>
      <c r="O101" s="47" t="s">
        <v>862</v>
      </c>
      <c r="AI101" s="21" t="s">
        <v>103</v>
      </c>
      <c r="AS101" s="56">
        <f>SUM(AJ102:AJ103)</f>
        <v>0</v>
      </c>
      <c r="AT101" s="56">
        <f>SUM(AK102:AK103)</f>
        <v>0</v>
      </c>
      <c r="AU101" s="56">
        <f>SUM(AL102:AL103)</f>
        <v>0</v>
      </c>
    </row>
    <row r="102" spans="1:64" ht="15" customHeight="1">
      <c r="A102" s="11" t="s">
        <v>546</v>
      </c>
      <c r="B102" s="48" t="s">
        <v>103</v>
      </c>
      <c r="C102" s="48" t="s">
        <v>816</v>
      </c>
      <c r="D102" s="61" t="s">
        <v>469</v>
      </c>
      <c r="E102" s="61"/>
      <c r="F102" s="61"/>
      <c r="G102" s="61"/>
      <c r="H102" s="48" t="s">
        <v>1018</v>
      </c>
      <c r="I102" s="13">
        <v>14</v>
      </c>
      <c r="J102" s="13">
        <v>0</v>
      </c>
      <c r="K102" s="13">
        <f>I102*AO102</f>
        <v>0</v>
      </c>
      <c r="L102" s="13">
        <f>I102*AP102</f>
        <v>0</v>
      </c>
      <c r="M102" s="13">
        <f>I102*J102</f>
        <v>0</v>
      </c>
      <c r="N102" s="13">
        <v>0.00037</v>
      </c>
      <c r="O102" s="10" t="s">
        <v>851</v>
      </c>
      <c r="Z102" s="13">
        <f>IF(AQ102="5",BJ102,0)</f>
        <v>0</v>
      </c>
      <c r="AB102" s="13">
        <f>IF(AQ102="1",BH102,0)</f>
        <v>0</v>
      </c>
      <c r="AC102" s="13">
        <f>IF(AQ102="1",BI102,0)</f>
        <v>0</v>
      </c>
      <c r="AD102" s="13">
        <f>IF(AQ102="7",BH102,0)</f>
        <v>0</v>
      </c>
      <c r="AE102" s="13">
        <f>IF(AQ102="7",BI102,0)</f>
        <v>0</v>
      </c>
      <c r="AF102" s="13">
        <f>IF(AQ102="2",BH102,0)</f>
        <v>0</v>
      </c>
      <c r="AG102" s="13">
        <f>IF(AQ102="2",BI102,0)</f>
        <v>0</v>
      </c>
      <c r="AH102" s="13">
        <f>IF(AQ102="0",BJ102,0)</f>
        <v>0</v>
      </c>
      <c r="AI102" s="21" t="s">
        <v>103</v>
      </c>
      <c r="AJ102" s="13">
        <f>IF(AN102=0,M102,0)</f>
        <v>0</v>
      </c>
      <c r="AK102" s="13">
        <f>IF(AN102=15,M102,0)</f>
        <v>0</v>
      </c>
      <c r="AL102" s="13">
        <f>IF(AN102=21,M102,0)</f>
        <v>0</v>
      </c>
      <c r="AN102" s="13">
        <v>21</v>
      </c>
      <c r="AO102" s="13">
        <f>J102*0.0148385593368061</f>
        <v>0</v>
      </c>
      <c r="AP102" s="13">
        <f>J102*(1-0.0148385593368061)</f>
        <v>0</v>
      </c>
      <c r="AQ102" s="32" t="s">
        <v>1231</v>
      </c>
      <c r="AV102" s="13">
        <f>AW102+AX102</f>
        <v>0</v>
      </c>
      <c r="AW102" s="13">
        <f>I102*AO102</f>
        <v>0</v>
      </c>
      <c r="AX102" s="13">
        <f>I102*AP102</f>
        <v>0</v>
      </c>
      <c r="AY102" s="32" t="s">
        <v>1294</v>
      </c>
      <c r="AZ102" s="32" t="s">
        <v>538</v>
      </c>
      <c r="BA102" s="21" t="s">
        <v>854</v>
      </c>
      <c r="BC102" s="13">
        <f>AW102+AX102</f>
        <v>0</v>
      </c>
      <c r="BD102" s="13">
        <f>J102/(100-BE102)*100</f>
        <v>0</v>
      </c>
      <c r="BE102" s="13">
        <v>0</v>
      </c>
      <c r="BF102" s="13">
        <f>102</f>
        <v>102</v>
      </c>
      <c r="BH102" s="13">
        <f>I102*AO102</f>
        <v>0</v>
      </c>
      <c r="BI102" s="13">
        <f>I102*AP102</f>
        <v>0</v>
      </c>
      <c r="BJ102" s="13">
        <f>I102*J102</f>
        <v>0</v>
      </c>
      <c r="BK102" s="13"/>
      <c r="BL102" s="13">
        <v>14</v>
      </c>
    </row>
    <row r="103" spans="1:64" ht="15" customHeight="1">
      <c r="A103" s="11" t="s">
        <v>149</v>
      </c>
      <c r="B103" s="48" t="s">
        <v>103</v>
      </c>
      <c r="C103" s="48" t="s">
        <v>713</v>
      </c>
      <c r="D103" s="61" t="s">
        <v>709</v>
      </c>
      <c r="E103" s="61"/>
      <c r="F103" s="61"/>
      <c r="G103" s="61"/>
      <c r="H103" s="48" t="s">
        <v>1018</v>
      </c>
      <c r="I103" s="13">
        <v>14</v>
      </c>
      <c r="J103" s="13">
        <v>0</v>
      </c>
      <c r="K103" s="13">
        <f>I103*AO103</f>
        <v>0</v>
      </c>
      <c r="L103" s="13">
        <f>I103*AP103</f>
        <v>0</v>
      </c>
      <c r="M103" s="13">
        <f>I103*J103</f>
        <v>0</v>
      </c>
      <c r="N103" s="13">
        <v>0.084</v>
      </c>
      <c r="O103" s="10" t="s">
        <v>851</v>
      </c>
      <c r="Z103" s="13">
        <f>IF(AQ103="5",BJ103,0)</f>
        <v>0</v>
      </c>
      <c r="AB103" s="13">
        <f>IF(AQ103="1",BH103,0)</f>
        <v>0</v>
      </c>
      <c r="AC103" s="13">
        <f>IF(AQ103="1",BI103,0)</f>
        <v>0</v>
      </c>
      <c r="AD103" s="13">
        <f>IF(AQ103="7",BH103,0)</f>
        <v>0</v>
      </c>
      <c r="AE103" s="13">
        <f>IF(AQ103="7",BI103,0)</f>
        <v>0</v>
      </c>
      <c r="AF103" s="13">
        <f>IF(AQ103="2",BH103,0)</f>
        <v>0</v>
      </c>
      <c r="AG103" s="13">
        <f>IF(AQ103="2",BI103,0)</f>
        <v>0</v>
      </c>
      <c r="AH103" s="13">
        <f>IF(AQ103="0",BJ103,0)</f>
        <v>0</v>
      </c>
      <c r="AI103" s="21" t="s">
        <v>103</v>
      </c>
      <c r="AJ103" s="13">
        <f>IF(AN103=0,M103,0)</f>
        <v>0</v>
      </c>
      <c r="AK103" s="13">
        <f>IF(AN103=15,M103,0)</f>
        <v>0</v>
      </c>
      <c r="AL103" s="13">
        <f>IF(AN103=21,M103,0)</f>
        <v>0</v>
      </c>
      <c r="AN103" s="13">
        <v>21</v>
      </c>
      <c r="AO103" s="13">
        <f>J103*1</f>
        <v>0</v>
      </c>
      <c r="AP103" s="13">
        <f>J103*(1-1)</f>
        <v>0</v>
      </c>
      <c r="AQ103" s="32" t="s">
        <v>1231</v>
      </c>
      <c r="AV103" s="13">
        <f>AW103+AX103</f>
        <v>0</v>
      </c>
      <c r="AW103" s="13">
        <f>I103*AO103</f>
        <v>0</v>
      </c>
      <c r="AX103" s="13">
        <f>I103*AP103</f>
        <v>0</v>
      </c>
      <c r="AY103" s="32" t="s">
        <v>1294</v>
      </c>
      <c r="AZ103" s="32" t="s">
        <v>538</v>
      </c>
      <c r="BA103" s="21" t="s">
        <v>854</v>
      </c>
      <c r="BC103" s="13">
        <f>AW103+AX103</f>
        <v>0</v>
      </c>
      <c r="BD103" s="13">
        <f>J103/(100-BE103)*100</f>
        <v>0</v>
      </c>
      <c r="BE103" s="13">
        <v>0</v>
      </c>
      <c r="BF103" s="13">
        <f>103</f>
        <v>103</v>
      </c>
      <c r="BH103" s="13">
        <f>I103*AO103</f>
        <v>0</v>
      </c>
      <c r="BI103" s="13">
        <f>I103*AP103</f>
        <v>0</v>
      </c>
      <c r="BJ103" s="13">
        <f>I103*J103</f>
        <v>0</v>
      </c>
      <c r="BK103" s="13"/>
      <c r="BL103" s="13">
        <v>14</v>
      </c>
    </row>
    <row r="104" spans="1:47" ht="15" customHeight="1">
      <c r="A104" s="30" t="s">
        <v>862</v>
      </c>
      <c r="B104" s="18" t="s">
        <v>103</v>
      </c>
      <c r="C104" s="18" t="s">
        <v>473</v>
      </c>
      <c r="D104" s="73" t="s">
        <v>1065</v>
      </c>
      <c r="E104" s="73"/>
      <c r="F104" s="73"/>
      <c r="G104" s="73"/>
      <c r="H104" s="15" t="s">
        <v>1148</v>
      </c>
      <c r="I104" s="15" t="s">
        <v>1148</v>
      </c>
      <c r="J104" s="15" t="s">
        <v>1148</v>
      </c>
      <c r="K104" s="56">
        <f>SUM(K105:K108)</f>
        <v>0</v>
      </c>
      <c r="L104" s="56">
        <f>SUM(L105:L108)</f>
        <v>0</v>
      </c>
      <c r="M104" s="56">
        <f>SUM(M105:M108)</f>
        <v>0</v>
      </c>
      <c r="N104" s="21" t="s">
        <v>862</v>
      </c>
      <c r="O104" s="47" t="s">
        <v>862</v>
      </c>
      <c r="AI104" s="21" t="s">
        <v>103</v>
      </c>
      <c r="AS104" s="56">
        <f>SUM(AJ105:AJ108)</f>
        <v>0</v>
      </c>
      <c r="AT104" s="56">
        <f>SUM(AK105:AK108)</f>
        <v>0</v>
      </c>
      <c r="AU104" s="56">
        <f>SUM(AL105:AL108)</f>
        <v>0</v>
      </c>
    </row>
    <row r="105" spans="1:64" ht="15" customHeight="1">
      <c r="A105" s="11" t="s">
        <v>901</v>
      </c>
      <c r="B105" s="48" t="s">
        <v>103</v>
      </c>
      <c r="C105" s="48" t="s">
        <v>1356</v>
      </c>
      <c r="D105" s="61" t="s">
        <v>268</v>
      </c>
      <c r="E105" s="61"/>
      <c r="F105" s="61"/>
      <c r="G105" s="61"/>
      <c r="H105" s="48" t="s">
        <v>1216</v>
      </c>
      <c r="I105" s="13">
        <v>2114.84</v>
      </c>
      <c r="J105" s="13">
        <v>0</v>
      </c>
      <c r="K105" s="13">
        <f>I105*AO105</f>
        <v>0</v>
      </c>
      <c r="L105" s="13">
        <f>I105*AP105</f>
        <v>0</v>
      </c>
      <c r="M105" s="13">
        <f>I105*J105</f>
        <v>0</v>
      </c>
      <c r="N105" s="13">
        <v>0.00099</v>
      </c>
      <c r="O105" s="10" t="s">
        <v>851</v>
      </c>
      <c r="Z105" s="13">
        <f>IF(AQ105="5",BJ105,0)</f>
        <v>0</v>
      </c>
      <c r="AB105" s="13">
        <f>IF(AQ105="1",BH105,0)</f>
        <v>0</v>
      </c>
      <c r="AC105" s="13">
        <f>IF(AQ105="1",BI105,0)</f>
        <v>0</v>
      </c>
      <c r="AD105" s="13">
        <f>IF(AQ105="7",BH105,0)</f>
        <v>0</v>
      </c>
      <c r="AE105" s="13">
        <f>IF(AQ105="7",BI105,0)</f>
        <v>0</v>
      </c>
      <c r="AF105" s="13">
        <f>IF(AQ105="2",BH105,0)</f>
        <v>0</v>
      </c>
      <c r="AG105" s="13">
        <f>IF(AQ105="2",BI105,0)</f>
        <v>0</v>
      </c>
      <c r="AH105" s="13">
        <f>IF(AQ105="0",BJ105,0)</f>
        <v>0</v>
      </c>
      <c r="AI105" s="21" t="s">
        <v>103</v>
      </c>
      <c r="AJ105" s="13">
        <f>IF(AN105=0,M105,0)</f>
        <v>0</v>
      </c>
      <c r="AK105" s="13">
        <f>IF(AN105=15,M105,0)</f>
        <v>0</v>
      </c>
      <c r="AL105" s="13">
        <f>IF(AN105=21,M105,0)</f>
        <v>0</v>
      </c>
      <c r="AN105" s="13">
        <v>21</v>
      </c>
      <c r="AO105" s="13">
        <f>J105*0.0932214765100671</f>
        <v>0</v>
      </c>
      <c r="AP105" s="13">
        <f>J105*(1-0.0932214765100671)</f>
        <v>0</v>
      </c>
      <c r="AQ105" s="32" t="s">
        <v>1231</v>
      </c>
      <c r="AV105" s="13">
        <f>AW105+AX105</f>
        <v>0</v>
      </c>
      <c r="AW105" s="13">
        <f>I105*AO105</f>
        <v>0</v>
      </c>
      <c r="AX105" s="13">
        <f>I105*AP105</f>
        <v>0</v>
      </c>
      <c r="AY105" s="32" t="s">
        <v>876</v>
      </c>
      <c r="AZ105" s="32" t="s">
        <v>538</v>
      </c>
      <c r="BA105" s="21" t="s">
        <v>854</v>
      </c>
      <c r="BC105" s="13">
        <f>AW105+AX105</f>
        <v>0</v>
      </c>
      <c r="BD105" s="13">
        <f>J105/(100-BE105)*100</f>
        <v>0</v>
      </c>
      <c r="BE105" s="13">
        <v>0</v>
      </c>
      <c r="BF105" s="13">
        <f>105</f>
        <v>105</v>
      </c>
      <c r="BH105" s="13">
        <f>I105*AO105</f>
        <v>0</v>
      </c>
      <c r="BI105" s="13">
        <f>I105*AP105</f>
        <v>0</v>
      </c>
      <c r="BJ105" s="13">
        <f>I105*J105</f>
        <v>0</v>
      </c>
      <c r="BK105" s="13"/>
      <c r="BL105" s="13">
        <v>15</v>
      </c>
    </row>
    <row r="106" spans="1:64" ht="15" customHeight="1">
      <c r="A106" s="11" t="s">
        <v>1370</v>
      </c>
      <c r="B106" s="48" t="s">
        <v>103</v>
      </c>
      <c r="C106" s="48" t="s">
        <v>843</v>
      </c>
      <c r="D106" s="61" t="s">
        <v>1197</v>
      </c>
      <c r="E106" s="61"/>
      <c r="F106" s="61"/>
      <c r="G106" s="61"/>
      <c r="H106" s="48" t="s">
        <v>1216</v>
      </c>
      <c r="I106" s="13">
        <v>2114.84</v>
      </c>
      <c r="J106" s="13">
        <v>0</v>
      </c>
      <c r="K106" s="13">
        <f>I106*AO106</f>
        <v>0</v>
      </c>
      <c r="L106" s="13">
        <f>I106*AP106</f>
        <v>0</v>
      </c>
      <c r="M106" s="13">
        <f>I106*J106</f>
        <v>0</v>
      </c>
      <c r="N106" s="13">
        <v>0</v>
      </c>
      <c r="O106" s="10" t="s">
        <v>851</v>
      </c>
      <c r="Z106" s="13">
        <f>IF(AQ106="5",BJ106,0)</f>
        <v>0</v>
      </c>
      <c r="AB106" s="13">
        <f>IF(AQ106="1",BH106,0)</f>
        <v>0</v>
      </c>
      <c r="AC106" s="13">
        <f>IF(AQ106="1",BI106,0)</f>
        <v>0</v>
      </c>
      <c r="AD106" s="13">
        <f>IF(AQ106="7",BH106,0)</f>
        <v>0</v>
      </c>
      <c r="AE106" s="13">
        <f>IF(AQ106="7",BI106,0)</f>
        <v>0</v>
      </c>
      <c r="AF106" s="13">
        <f>IF(AQ106="2",BH106,0)</f>
        <v>0</v>
      </c>
      <c r="AG106" s="13">
        <f>IF(AQ106="2",BI106,0)</f>
        <v>0</v>
      </c>
      <c r="AH106" s="13">
        <f>IF(AQ106="0",BJ106,0)</f>
        <v>0</v>
      </c>
      <c r="AI106" s="21" t="s">
        <v>103</v>
      </c>
      <c r="AJ106" s="13">
        <f>IF(AN106=0,M106,0)</f>
        <v>0</v>
      </c>
      <c r="AK106" s="13">
        <f>IF(AN106=15,M106,0)</f>
        <v>0</v>
      </c>
      <c r="AL106" s="13">
        <f>IF(AN106=21,M106,0)</f>
        <v>0</v>
      </c>
      <c r="AN106" s="13">
        <v>21</v>
      </c>
      <c r="AO106" s="13">
        <f>J106*0</f>
        <v>0</v>
      </c>
      <c r="AP106" s="13">
        <f>J106*(1-0)</f>
        <v>0</v>
      </c>
      <c r="AQ106" s="32" t="s">
        <v>1231</v>
      </c>
      <c r="AV106" s="13">
        <f>AW106+AX106</f>
        <v>0</v>
      </c>
      <c r="AW106" s="13">
        <f>I106*AO106</f>
        <v>0</v>
      </c>
      <c r="AX106" s="13">
        <f>I106*AP106</f>
        <v>0</v>
      </c>
      <c r="AY106" s="32" t="s">
        <v>876</v>
      </c>
      <c r="AZ106" s="32" t="s">
        <v>538</v>
      </c>
      <c r="BA106" s="21" t="s">
        <v>854</v>
      </c>
      <c r="BC106" s="13">
        <f>AW106+AX106</f>
        <v>0</v>
      </c>
      <c r="BD106" s="13">
        <f>J106/(100-BE106)*100</f>
        <v>0</v>
      </c>
      <c r="BE106" s="13">
        <v>0</v>
      </c>
      <c r="BF106" s="13">
        <f>106</f>
        <v>106</v>
      </c>
      <c r="BH106" s="13">
        <f>I106*AO106</f>
        <v>0</v>
      </c>
      <c r="BI106" s="13">
        <f>I106*AP106</f>
        <v>0</v>
      </c>
      <c r="BJ106" s="13">
        <f>I106*J106</f>
        <v>0</v>
      </c>
      <c r="BK106" s="13"/>
      <c r="BL106" s="13">
        <v>15</v>
      </c>
    </row>
    <row r="107" spans="1:64" ht="15" customHeight="1">
      <c r="A107" s="11" t="s">
        <v>272</v>
      </c>
      <c r="B107" s="48" t="s">
        <v>103</v>
      </c>
      <c r="C107" s="48" t="s">
        <v>150</v>
      </c>
      <c r="D107" s="61" t="s">
        <v>372</v>
      </c>
      <c r="E107" s="61"/>
      <c r="F107" s="61"/>
      <c r="G107" s="61"/>
      <c r="H107" s="48" t="s">
        <v>1216</v>
      </c>
      <c r="I107" s="13">
        <v>884</v>
      </c>
      <c r="J107" s="13">
        <v>0</v>
      </c>
      <c r="K107" s="13">
        <f>I107*AO107</f>
        <v>0</v>
      </c>
      <c r="L107" s="13">
        <f>I107*AP107</f>
        <v>0</v>
      </c>
      <c r="M107" s="13">
        <f>I107*J107</f>
        <v>0</v>
      </c>
      <c r="N107" s="13">
        <v>0.00086</v>
      </c>
      <c r="O107" s="10" t="s">
        <v>851</v>
      </c>
      <c r="Z107" s="13">
        <f>IF(AQ107="5",BJ107,0)</f>
        <v>0</v>
      </c>
      <c r="AB107" s="13">
        <f>IF(AQ107="1",BH107,0)</f>
        <v>0</v>
      </c>
      <c r="AC107" s="13">
        <f>IF(AQ107="1",BI107,0)</f>
        <v>0</v>
      </c>
      <c r="AD107" s="13">
        <f>IF(AQ107="7",BH107,0)</f>
        <v>0</v>
      </c>
      <c r="AE107" s="13">
        <f>IF(AQ107="7",BI107,0)</f>
        <v>0</v>
      </c>
      <c r="AF107" s="13">
        <f>IF(AQ107="2",BH107,0)</f>
        <v>0</v>
      </c>
      <c r="AG107" s="13">
        <f>IF(AQ107="2",BI107,0)</f>
        <v>0</v>
      </c>
      <c r="AH107" s="13">
        <f>IF(AQ107="0",BJ107,0)</f>
        <v>0</v>
      </c>
      <c r="AI107" s="21" t="s">
        <v>103</v>
      </c>
      <c r="AJ107" s="13">
        <f>IF(AN107=0,M107,0)</f>
        <v>0</v>
      </c>
      <c r="AK107" s="13">
        <f>IF(AN107=15,M107,0)</f>
        <v>0</v>
      </c>
      <c r="AL107" s="13">
        <f>IF(AN107=21,M107,0)</f>
        <v>0</v>
      </c>
      <c r="AN107" s="13">
        <v>21</v>
      </c>
      <c r="AO107" s="13">
        <f>J107*0.0997231833910035</f>
        <v>0</v>
      </c>
      <c r="AP107" s="13">
        <f>J107*(1-0.0997231833910035)</f>
        <v>0</v>
      </c>
      <c r="AQ107" s="32" t="s">
        <v>1231</v>
      </c>
      <c r="AV107" s="13">
        <f>AW107+AX107</f>
        <v>0</v>
      </c>
      <c r="AW107" s="13">
        <f>I107*AO107</f>
        <v>0</v>
      </c>
      <c r="AX107" s="13">
        <f>I107*AP107</f>
        <v>0</v>
      </c>
      <c r="AY107" s="32" t="s">
        <v>876</v>
      </c>
      <c r="AZ107" s="32" t="s">
        <v>538</v>
      </c>
      <c r="BA107" s="21" t="s">
        <v>854</v>
      </c>
      <c r="BC107" s="13">
        <f>AW107+AX107</f>
        <v>0</v>
      </c>
      <c r="BD107" s="13">
        <f>J107/(100-BE107)*100</f>
        <v>0</v>
      </c>
      <c r="BE107" s="13">
        <v>0</v>
      </c>
      <c r="BF107" s="13">
        <f>107</f>
        <v>107</v>
      </c>
      <c r="BH107" s="13">
        <f>I107*AO107</f>
        <v>0</v>
      </c>
      <c r="BI107" s="13">
        <f>I107*AP107</f>
        <v>0</v>
      </c>
      <c r="BJ107" s="13">
        <f>I107*J107</f>
        <v>0</v>
      </c>
      <c r="BK107" s="13"/>
      <c r="BL107" s="13">
        <v>15</v>
      </c>
    </row>
    <row r="108" spans="1:64" ht="15" customHeight="1">
      <c r="A108" s="11" t="s">
        <v>599</v>
      </c>
      <c r="B108" s="48" t="s">
        <v>103</v>
      </c>
      <c r="C108" s="48" t="s">
        <v>456</v>
      </c>
      <c r="D108" s="61" t="s">
        <v>458</v>
      </c>
      <c r="E108" s="61"/>
      <c r="F108" s="61"/>
      <c r="G108" s="61"/>
      <c r="H108" s="48" t="s">
        <v>1216</v>
      </c>
      <c r="I108" s="13">
        <v>914</v>
      </c>
      <c r="J108" s="13">
        <v>0</v>
      </c>
      <c r="K108" s="13">
        <f>I108*AO108</f>
        <v>0</v>
      </c>
      <c r="L108" s="13">
        <f>I108*AP108</f>
        <v>0</v>
      </c>
      <c r="M108" s="13">
        <f>I108*J108</f>
        <v>0</v>
      </c>
      <c r="N108" s="13">
        <v>0</v>
      </c>
      <c r="O108" s="10" t="s">
        <v>851</v>
      </c>
      <c r="Z108" s="13">
        <f>IF(AQ108="5",BJ108,0)</f>
        <v>0</v>
      </c>
      <c r="AB108" s="13">
        <f>IF(AQ108="1",BH108,0)</f>
        <v>0</v>
      </c>
      <c r="AC108" s="13">
        <f>IF(AQ108="1",BI108,0)</f>
        <v>0</v>
      </c>
      <c r="AD108" s="13">
        <f>IF(AQ108="7",BH108,0)</f>
        <v>0</v>
      </c>
      <c r="AE108" s="13">
        <f>IF(AQ108="7",BI108,0)</f>
        <v>0</v>
      </c>
      <c r="AF108" s="13">
        <f>IF(AQ108="2",BH108,0)</f>
        <v>0</v>
      </c>
      <c r="AG108" s="13">
        <f>IF(AQ108="2",BI108,0)</f>
        <v>0</v>
      </c>
      <c r="AH108" s="13">
        <f>IF(AQ108="0",BJ108,0)</f>
        <v>0</v>
      </c>
      <c r="AI108" s="21" t="s">
        <v>103</v>
      </c>
      <c r="AJ108" s="13">
        <f>IF(AN108=0,M108,0)</f>
        <v>0</v>
      </c>
      <c r="AK108" s="13">
        <f>IF(AN108=15,M108,0)</f>
        <v>0</v>
      </c>
      <c r="AL108" s="13">
        <f>IF(AN108=21,M108,0)</f>
        <v>0</v>
      </c>
      <c r="AN108" s="13">
        <v>21</v>
      </c>
      <c r="AO108" s="13">
        <f>J108*0</f>
        <v>0</v>
      </c>
      <c r="AP108" s="13">
        <f>J108*(1-0)</f>
        <v>0</v>
      </c>
      <c r="AQ108" s="32" t="s">
        <v>1231</v>
      </c>
      <c r="AV108" s="13">
        <f>AW108+AX108</f>
        <v>0</v>
      </c>
      <c r="AW108" s="13">
        <f>I108*AO108</f>
        <v>0</v>
      </c>
      <c r="AX108" s="13">
        <f>I108*AP108</f>
        <v>0</v>
      </c>
      <c r="AY108" s="32" t="s">
        <v>876</v>
      </c>
      <c r="AZ108" s="32" t="s">
        <v>538</v>
      </c>
      <c r="BA108" s="21" t="s">
        <v>854</v>
      </c>
      <c r="BC108" s="13">
        <f>AW108+AX108</f>
        <v>0</v>
      </c>
      <c r="BD108" s="13">
        <f>J108/(100-BE108)*100</f>
        <v>0</v>
      </c>
      <c r="BE108" s="13">
        <v>0</v>
      </c>
      <c r="BF108" s="13">
        <f>108</f>
        <v>108</v>
      </c>
      <c r="BH108" s="13">
        <f>I108*AO108</f>
        <v>0</v>
      </c>
      <c r="BI108" s="13">
        <f>I108*AP108</f>
        <v>0</v>
      </c>
      <c r="BJ108" s="13">
        <f>I108*J108</f>
        <v>0</v>
      </c>
      <c r="BK108" s="13"/>
      <c r="BL108" s="13">
        <v>15</v>
      </c>
    </row>
    <row r="109" spans="1:47" ht="15" customHeight="1">
      <c r="A109" s="30" t="s">
        <v>862</v>
      </c>
      <c r="B109" s="18" t="s">
        <v>103</v>
      </c>
      <c r="C109" s="18" t="s">
        <v>113</v>
      </c>
      <c r="D109" s="73" t="s">
        <v>1028</v>
      </c>
      <c r="E109" s="73"/>
      <c r="F109" s="73"/>
      <c r="G109" s="73"/>
      <c r="H109" s="15" t="s">
        <v>1148</v>
      </c>
      <c r="I109" s="15" t="s">
        <v>1148</v>
      </c>
      <c r="J109" s="15" t="s">
        <v>1148</v>
      </c>
      <c r="K109" s="56">
        <f>SUM(K110:K111)</f>
        <v>0</v>
      </c>
      <c r="L109" s="56">
        <f>SUM(L110:L111)</f>
        <v>0</v>
      </c>
      <c r="M109" s="56">
        <f>SUM(M110:M111)</f>
        <v>0</v>
      </c>
      <c r="N109" s="21" t="s">
        <v>862</v>
      </c>
      <c r="O109" s="47" t="s">
        <v>862</v>
      </c>
      <c r="AI109" s="21" t="s">
        <v>103</v>
      </c>
      <c r="AS109" s="56">
        <f>SUM(AJ110:AJ111)</f>
        <v>0</v>
      </c>
      <c r="AT109" s="56">
        <f>SUM(AK110:AK111)</f>
        <v>0</v>
      </c>
      <c r="AU109" s="56">
        <f>SUM(AL110:AL111)</f>
        <v>0</v>
      </c>
    </row>
    <row r="110" spans="1:64" ht="15" customHeight="1">
      <c r="A110" s="11" t="s">
        <v>1361</v>
      </c>
      <c r="B110" s="48" t="s">
        <v>103</v>
      </c>
      <c r="C110" s="48" t="s">
        <v>18</v>
      </c>
      <c r="D110" s="61" t="s">
        <v>1035</v>
      </c>
      <c r="E110" s="61"/>
      <c r="F110" s="61"/>
      <c r="G110" s="61"/>
      <c r="H110" s="48" t="s">
        <v>1195</v>
      </c>
      <c r="I110" s="13">
        <v>169.47</v>
      </c>
      <c r="J110" s="13">
        <v>0</v>
      </c>
      <c r="K110" s="13">
        <f>I110*AO110</f>
        <v>0</v>
      </c>
      <c r="L110" s="13">
        <f>I110*AP110</f>
        <v>0</v>
      </c>
      <c r="M110" s="13">
        <f>I110*J110</f>
        <v>0</v>
      </c>
      <c r="N110" s="13">
        <v>0</v>
      </c>
      <c r="O110" s="10" t="s">
        <v>851</v>
      </c>
      <c r="Z110" s="13">
        <f>IF(AQ110="5",BJ110,0)</f>
        <v>0</v>
      </c>
      <c r="AB110" s="13">
        <f>IF(AQ110="1",BH110,0)</f>
        <v>0</v>
      </c>
      <c r="AC110" s="13">
        <f>IF(AQ110="1",BI110,0)</f>
        <v>0</v>
      </c>
      <c r="AD110" s="13">
        <f>IF(AQ110="7",BH110,0)</f>
        <v>0</v>
      </c>
      <c r="AE110" s="13">
        <f>IF(AQ110="7",BI110,0)</f>
        <v>0</v>
      </c>
      <c r="AF110" s="13">
        <f>IF(AQ110="2",BH110,0)</f>
        <v>0</v>
      </c>
      <c r="AG110" s="13">
        <f>IF(AQ110="2",BI110,0)</f>
        <v>0</v>
      </c>
      <c r="AH110" s="13">
        <f>IF(AQ110="0",BJ110,0)</f>
        <v>0</v>
      </c>
      <c r="AI110" s="21" t="s">
        <v>103</v>
      </c>
      <c r="AJ110" s="13">
        <f>IF(AN110=0,M110,0)</f>
        <v>0</v>
      </c>
      <c r="AK110" s="13">
        <f>IF(AN110=15,M110,0)</f>
        <v>0</v>
      </c>
      <c r="AL110" s="13">
        <f>IF(AN110=21,M110,0)</f>
        <v>0</v>
      </c>
      <c r="AN110" s="13">
        <v>21</v>
      </c>
      <c r="AO110" s="13">
        <f>J110*0</f>
        <v>0</v>
      </c>
      <c r="AP110" s="13">
        <f>J110*(1-0)</f>
        <v>0</v>
      </c>
      <c r="AQ110" s="32" t="s">
        <v>1231</v>
      </c>
      <c r="AV110" s="13">
        <f>AW110+AX110</f>
        <v>0</v>
      </c>
      <c r="AW110" s="13">
        <f>I110*AO110</f>
        <v>0</v>
      </c>
      <c r="AX110" s="13">
        <f>I110*AP110</f>
        <v>0</v>
      </c>
      <c r="AY110" s="32" t="s">
        <v>1151</v>
      </c>
      <c r="AZ110" s="32" t="s">
        <v>538</v>
      </c>
      <c r="BA110" s="21" t="s">
        <v>854</v>
      </c>
      <c r="BC110" s="13">
        <f>AW110+AX110</f>
        <v>0</v>
      </c>
      <c r="BD110" s="13">
        <f>J110/(100-BE110)*100</f>
        <v>0</v>
      </c>
      <c r="BE110" s="13">
        <v>0</v>
      </c>
      <c r="BF110" s="13">
        <f>110</f>
        <v>110</v>
      </c>
      <c r="BH110" s="13">
        <f>I110*AO110</f>
        <v>0</v>
      </c>
      <c r="BI110" s="13">
        <f>I110*AP110</f>
        <v>0</v>
      </c>
      <c r="BJ110" s="13">
        <f>I110*J110</f>
        <v>0</v>
      </c>
      <c r="BK110" s="13"/>
      <c r="BL110" s="13">
        <v>16</v>
      </c>
    </row>
    <row r="111" spans="1:64" ht="15" customHeight="1">
      <c r="A111" s="11" t="s">
        <v>1280</v>
      </c>
      <c r="B111" s="48" t="s">
        <v>103</v>
      </c>
      <c r="C111" s="48" t="s">
        <v>560</v>
      </c>
      <c r="D111" s="61" t="s">
        <v>663</v>
      </c>
      <c r="E111" s="61"/>
      <c r="F111" s="61"/>
      <c r="G111" s="61"/>
      <c r="H111" s="48" t="s">
        <v>1195</v>
      </c>
      <c r="I111" s="13">
        <v>1694.7</v>
      </c>
      <c r="J111" s="13">
        <v>0</v>
      </c>
      <c r="K111" s="13">
        <f>I111*AO111</f>
        <v>0</v>
      </c>
      <c r="L111" s="13">
        <f>I111*AP111</f>
        <v>0</v>
      </c>
      <c r="M111" s="13">
        <f>I111*J111</f>
        <v>0</v>
      </c>
      <c r="N111" s="13">
        <v>0</v>
      </c>
      <c r="O111" s="10" t="s">
        <v>851</v>
      </c>
      <c r="Z111" s="13">
        <f>IF(AQ111="5",BJ111,0)</f>
        <v>0</v>
      </c>
      <c r="AB111" s="13">
        <f>IF(AQ111="1",BH111,0)</f>
        <v>0</v>
      </c>
      <c r="AC111" s="13">
        <f>IF(AQ111="1",BI111,0)</f>
        <v>0</v>
      </c>
      <c r="AD111" s="13">
        <f>IF(AQ111="7",BH111,0)</f>
        <v>0</v>
      </c>
      <c r="AE111" s="13">
        <f>IF(AQ111="7",BI111,0)</f>
        <v>0</v>
      </c>
      <c r="AF111" s="13">
        <f>IF(AQ111="2",BH111,0)</f>
        <v>0</v>
      </c>
      <c r="AG111" s="13">
        <f>IF(AQ111="2",BI111,0)</f>
        <v>0</v>
      </c>
      <c r="AH111" s="13">
        <f>IF(AQ111="0",BJ111,0)</f>
        <v>0</v>
      </c>
      <c r="AI111" s="21" t="s">
        <v>103</v>
      </c>
      <c r="AJ111" s="13">
        <f>IF(AN111=0,M111,0)</f>
        <v>0</v>
      </c>
      <c r="AK111" s="13">
        <f>IF(AN111=15,M111,0)</f>
        <v>0</v>
      </c>
      <c r="AL111" s="13">
        <f>IF(AN111=21,M111,0)</f>
        <v>0</v>
      </c>
      <c r="AN111" s="13">
        <v>21</v>
      </c>
      <c r="AO111" s="13">
        <f>J111*0</f>
        <v>0</v>
      </c>
      <c r="AP111" s="13">
        <f>J111*(1-0)</f>
        <v>0</v>
      </c>
      <c r="AQ111" s="32" t="s">
        <v>1231</v>
      </c>
      <c r="AV111" s="13">
        <f>AW111+AX111</f>
        <v>0</v>
      </c>
      <c r="AW111" s="13">
        <f>I111*AO111</f>
        <v>0</v>
      </c>
      <c r="AX111" s="13">
        <f>I111*AP111</f>
        <v>0</v>
      </c>
      <c r="AY111" s="32" t="s">
        <v>1151</v>
      </c>
      <c r="AZ111" s="32" t="s">
        <v>538</v>
      </c>
      <c r="BA111" s="21" t="s">
        <v>854</v>
      </c>
      <c r="BC111" s="13">
        <f>AW111+AX111</f>
        <v>0</v>
      </c>
      <c r="BD111" s="13">
        <f>J111/(100-BE111)*100</f>
        <v>0</v>
      </c>
      <c r="BE111" s="13">
        <v>0</v>
      </c>
      <c r="BF111" s="13">
        <f>111</f>
        <v>111</v>
      </c>
      <c r="BH111" s="13">
        <f>I111*AO111</f>
        <v>0</v>
      </c>
      <c r="BI111" s="13">
        <f>I111*AP111</f>
        <v>0</v>
      </c>
      <c r="BJ111" s="13">
        <f>I111*J111</f>
        <v>0</v>
      </c>
      <c r="BK111" s="13"/>
      <c r="BL111" s="13">
        <v>16</v>
      </c>
    </row>
    <row r="112" spans="1:47" ht="15" customHeight="1">
      <c r="A112" s="30" t="s">
        <v>862</v>
      </c>
      <c r="B112" s="18" t="s">
        <v>103</v>
      </c>
      <c r="C112" s="18" t="s">
        <v>868</v>
      </c>
      <c r="D112" s="73" t="s">
        <v>167</v>
      </c>
      <c r="E112" s="73"/>
      <c r="F112" s="73"/>
      <c r="G112" s="73"/>
      <c r="H112" s="15" t="s">
        <v>1148</v>
      </c>
      <c r="I112" s="15" t="s">
        <v>1148</v>
      </c>
      <c r="J112" s="15" t="s">
        <v>1148</v>
      </c>
      <c r="K112" s="56">
        <f>SUM(K113:K114)</f>
        <v>0</v>
      </c>
      <c r="L112" s="56">
        <f>SUM(L113:L114)</f>
        <v>0</v>
      </c>
      <c r="M112" s="56">
        <f>SUM(M113:M114)</f>
        <v>0</v>
      </c>
      <c r="N112" s="21" t="s">
        <v>862</v>
      </c>
      <c r="O112" s="47" t="s">
        <v>862</v>
      </c>
      <c r="AI112" s="21" t="s">
        <v>103</v>
      </c>
      <c r="AS112" s="56">
        <f>SUM(AJ113:AJ114)</f>
        <v>0</v>
      </c>
      <c r="AT112" s="56">
        <f>SUM(AK113:AK114)</f>
        <v>0</v>
      </c>
      <c r="AU112" s="56">
        <f>SUM(AL113:AL114)</f>
        <v>0</v>
      </c>
    </row>
    <row r="113" spans="1:64" ht="15" customHeight="1">
      <c r="A113" s="11" t="s">
        <v>23</v>
      </c>
      <c r="B113" s="48" t="s">
        <v>103</v>
      </c>
      <c r="C113" s="48" t="s">
        <v>1079</v>
      </c>
      <c r="D113" s="61" t="s">
        <v>39</v>
      </c>
      <c r="E113" s="61"/>
      <c r="F113" s="61"/>
      <c r="G113" s="61"/>
      <c r="H113" s="48" t="s">
        <v>1195</v>
      </c>
      <c r="I113" s="13">
        <v>193.41</v>
      </c>
      <c r="J113" s="13">
        <v>0</v>
      </c>
      <c r="K113" s="13">
        <f>I113*AO113</f>
        <v>0</v>
      </c>
      <c r="L113" s="13">
        <f>I113*AP113</f>
        <v>0</v>
      </c>
      <c r="M113" s="13">
        <f>I113*J113</f>
        <v>0</v>
      </c>
      <c r="N113" s="13">
        <v>1.7</v>
      </c>
      <c r="O113" s="10" t="s">
        <v>851</v>
      </c>
      <c r="Z113" s="13">
        <f>IF(AQ113="5",BJ113,0)</f>
        <v>0</v>
      </c>
      <c r="AB113" s="13">
        <f>IF(AQ113="1",BH113,0)</f>
        <v>0</v>
      </c>
      <c r="AC113" s="13">
        <f>IF(AQ113="1",BI113,0)</f>
        <v>0</v>
      </c>
      <c r="AD113" s="13">
        <f>IF(AQ113="7",BH113,0)</f>
        <v>0</v>
      </c>
      <c r="AE113" s="13">
        <f>IF(AQ113="7",BI113,0)</f>
        <v>0</v>
      </c>
      <c r="AF113" s="13">
        <f>IF(AQ113="2",BH113,0)</f>
        <v>0</v>
      </c>
      <c r="AG113" s="13">
        <f>IF(AQ113="2",BI113,0)</f>
        <v>0</v>
      </c>
      <c r="AH113" s="13">
        <f>IF(AQ113="0",BJ113,0)</f>
        <v>0</v>
      </c>
      <c r="AI113" s="21" t="s">
        <v>103</v>
      </c>
      <c r="AJ113" s="13">
        <f>IF(AN113=0,M113,0)</f>
        <v>0</v>
      </c>
      <c r="AK113" s="13">
        <f>IF(AN113=15,M113,0)</f>
        <v>0</v>
      </c>
      <c r="AL113" s="13">
        <f>IF(AN113=21,M113,0)</f>
        <v>0</v>
      </c>
      <c r="AN113" s="13">
        <v>21</v>
      </c>
      <c r="AO113" s="13">
        <f>J113*0.503380657303976</f>
        <v>0</v>
      </c>
      <c r="AP113" s="13">
        <f>J113*(1-0.503380657303976)</f>
        <v>0</v>
      </c>
      <c r="AQ113" s="32" t="s">
        <v>1231</v>
      </c>
      <c r="AV113" s="13">
        <f>AW113+AX113</f>
        <v>0</v>
      </c>
      <c r="AW113" s="13">
        <f>I113*AO113</f>
        <v>0</v>
      </c>
      <c r="AX113" s="13">
        <f>I113*AP113</f>
        <v>0</v>
      </c>
      <c r="AY113" s="32" t="s">
        <v>238</v>
      </c>
      <c r="AZ113" s="32" t="s">
        <v>538</v>
      </c>
      <c r="BA113" s="21" t="s">
        <v>854</v>
      </c>
      <c r="BC113" s="13">
        <f>AW113+AX113</f>
        <v>0</v>
      </c>
      <c r="BD113" s="13">
        <f>J113/(100-BE113)*100</f>
        <v>0</v>
      </c>
      <c r="BE113" s="13">
        <v>0</v>
      </c>
      <c r="BF113" s="13">
        <f>113</f>
        <v>113</v>
      </c>
      <c r="BH113" s="13">
        <f>I113*AO113</f>
        <v>0</v>
      </c>
      <c r="BI113" s="13">
        <f>I113*AP113</f>
        <v>0</v>
      </c>
      <c r="BJ113" s="13">
        <f>I113*J113</f>
        <v>0</v>
      </c>
      <c r="BK113" s="13"/>
      <c r="BL113" s="13">
        <v>17</v>
      </c>
    </row>
    <row r="114" spans="1:64" ht="15" customHeight="1">
      <c r="A114" s="11" t="s">
        <v>201</v>
      </c>
      <c r="B114" s="48" t="s">
        <v>103</v>
      </c>
      <c r="C114" s="48" t="s">
        <v>911</v>
      </c>
      <c r="D114" s="61" t="s">
        <v>638</v>
      </c>
      <c r="E114" s="61"/>
      <c r="F114" s="61"/>
      <c r="G114" s="61"/>
      <c r="H114" s="48" t="s">
        <v>1195</v>
      </c>
      <c r="I114" s="13">
        <v>566.83066</v>
      </c>
      <c r="J114" s="13">
        <v>0</v>
      </c>
      <c r="K114" s="13">
        <f>I114*AO114</f>
        <v>0</v>
      </c>
      <c r="L114" s="13">
        <f>I114*AP114</f>
        <v>0</v>
      </c>
      <c r="M114" s="13">
        <f>I114*J114</f>
        <v>0</v>
      </c>
      <c r="N114" s="13">
        <v>0</v>
      </c>
      <c r="O114" s="10" t="s">
        <v>851</v>
      </c>
      <c r="Z114" s="13">
        <f>IF(AQ114="5",BJ114,0)</f>
        <v>0</v>
      </c>
      <c r="AB114" s="13">
        <f>IF(AQ114="1",BH114,0)</f>
        <v>0</v>
      </c>
      <c r="AC114" s="13">
        <f>IF(AQ114="1",BI114,0)</f>
        <v>0</v>
      </c>
      <c r="AD114" s="13">
        <f>IF(AQ114="7",BH114,0)</f>
        <v>0</v>
      </c>
      <c r="AE114" s="13">
        <f>IF(AQ114="7",BI114,0)</f>
        <v>0</v>
      </c>
      <c r="AF114" s="13">
        <f>IF(AQ114="2",BH114,0)</f>
        <v>0</v>
      </c>
      <c r="AG114" s="13">
        <f>IF(AQ114="2",BI114,0)</f>
        <v>0</v>
      </c>
      <c r="AH114" s="13">
        <f>IF(AQ114="0",BJ114,0)</f>
        <v>0</v>
      </c>
      <c r="AI114" s="21" t="s">
        <v>103</v>
      </c>
      <c r="AJ114" s="13">
        <f>IF(AN114=0,M114,0)</f>
        <v>0</v>
      </c>
      <c r="AK114" s="13">
        <f>IF(AN114=15,M114,0)</f>
        <v>0</v>
      </c>
      <c r="AL114" s="13">
        <f>IF(AN114=21,M114,0)</f>
        <v>0</v>
      </c>
      <c r="AN114" s="13">
        <v>21</v>
      </c>
      <c r="AO114" s="13">
        <f>J114*0</f>
        <v>0</v>
      </c>
      <c r="AP114" s="13">
        <f>J114*(1-0)</f>
        <v>0</v>
      </c>
      <c r="AQ114" s="32" t="s">
        <v>1231</v>
      </c>
      <c r="AV114" s="13">
        <f>AW114+AX114</f>
        <v>0</v>
      </c>
      <c r="AW114" s="13">
        <f>I114*AO114</f>
        <v>0</v>
      </c>
      <c r="AX114" s="13">
        <f>I114*AP114</f>
        <v>0</v>
      </c>
      <c r="AY114" s="32" t="s">
        <v>238</v>
      </c>
      <c r="AZ114" s="32" t="s">
        <v>538</v>
      </c>
      <c r="BA114" s="21" t="s">
        <v>854</v>
      </c>
      <c r="BC114" s="13">
        <f>AW114+AX114</f>
        <v>0</v>
      </c>
      <c r="BD114" s="13">
        <f>J114/(100-BE114)*100</f>
        <v>0</v>
      </c>
      <c r="BE114" s="13">
        <v>0</v>
      </c>
      <c r="BF114" s="13">
        <f>114</f>
        <v>114</v>
      </c>
      <c r="BH114" s="13">
        <f>I114*AO114</f>
        <v>0</v>
      </c>
      <c r="BI114" s="13">
        <f>I114*AP114</f>
        <v>0</v>
      </c>
      <c r="BJ114" s="13">
        <f>I114*J114</f>
        <v>0</v>
      </c>
      <c r="BK114" s="13"/>
      <c r="BL114" s="13">
        <v>17</v>
      </c>
    </row>
    <row r="115" spans="1:47" ht="15" customHeight="1">
      <c r="A115" s="30" t="s">
        <v>862</v>
      </c>
      <c r="B115" s="18" t="s">
        <v>103</v>
      </c>
      <c r="C115" s="18" t="s">
        <v>993</v>
      </c>
      <c r="D115" s="73" t="s">
        <v>1249</v>
      </c>
      <c r="E115" s="73"/>
      <c r="F115" s="73"/>
      <c r="G115" s="73"/>
      <c r="H115" s="15" t="s">
        <v>1148</v>
      </c>
      <c r="I115" s="15" t="s">
        <v>1148</v>
      </c>
      <c r="J115" s="15" t="s">
        <v>1148</v>
      </c>
      <c r="K115" s="56">
        <f>SUM(K116:K117)</f>
        <v>0</v>
      </c>
      <c r="L115" s="56">
        <f>SUM(L116:L117)</f>
        <v>0</v>
      </c>
      <c r="M115" s="56">
        <f>SUM(M116:M117)</f>
        <v>0</v>
      </c>
      <c r="N115" s="21" t="s">
        <v>862</v>
      </c>
      <c r="O115" s="47" t="s">
        <v>862</v>
      </c>
      <c r="AI115" s="21" t="s">
        <v>103</v>
      </c>
      <c r="AS115" s="56">
        <f>SUM(AJ116:AJ117)</f>
        <v>0</v>
      </c>
      <c r="AT115" s="56">
        <f>SUM(AK116:AK117)</f>
        <v>0</v>
      </c>
      <c r="AU115" s="56">
        <f>SUM(AL116:AL117)</f>
        <v>0</v>
      </c>
    </row>
    <row r="116" spans="1:64" ht="15" customHeight="1">
      <c r="A116" s="11" t="s">
        <v>247</v>
      </c>
      <c r="B116" s="48" t="s">
        <v>103</v>
      </c>
      <c r="C116" s="48" t="s">
        <v>652</v>
      </c>
      <c r="D116" s="61" t="s">
        <v>990</v>
      </c>
      <c r="E116" s="61"/>
      <c r="F116" s="61"/>
      <c r="G116" s="61"/>
      <c r="H116" s="48" t="s">
        <v>1216</v>
      </c>
      <c r="I116" s="13">
        <v>260</v>
      </c>
      <c r="J116" s="13">
        <v>0</v>
      </c>
      <c r="K116" s="13">
        <f>I116*AO116</f>
        <v>0</v>
      </c>
      <c r="L116" s="13">
        <f>I116*AP116</f>
        <v>0</v>
      </c>
      <c r="M116" s="13">
        <f>I116*J116</f>
        <v>0</v>
      </c>
      <c r="N116" s="13">
        <v>3E-05</v>
      </c>
      <c r="O116" s="10" t="s">
        <v>851</v>
      </c>
      <c r="Z116" s="13">
        <f>IF(AQ116="5",BJ116,0)</f>
        <v>0</v>
      </c>
      <c r="AB116" s="13">
        <f>IF(AQ116="1",BH116,0)</f>
        <v>0</v>
      </c>
      <c r="AC116" s="13">
        <f>IF(AQ116="1",BI116,0)</f>
        <v>0</v>
      </c>
      <c r="AD116" s="13">
        <f>IF(AQ116="7",BH116,0)</f>
        <v>0</v>
      </c>
      <c r="AE116" s="13">
        <f>IF(AQ116="7",BI116,0)</f>
        <v>0</v>
      </c>
      <c r="AF116" s="13">
        <f>IF(AQ116="2",BH116,0)</f>
        <v>0</v>
      </c>
      <c r="AG116" s="13">
        <f>IF(AQ116="2",BI116,0)</f>
        <v>0</v>
      </c>
      <c r="AH116" s="13">
        <f>IF(AQ116="0",BJ116,0)</f>
        <v>0</v>
      </c>
      <c r="AI116" s="21" t="s">
        <v>103</v>
      </c>
      <c r="AJ116" s="13">
        <f>IF(AN116=0,M116,0)</f>
        <v>0</v>
      </c>
      <c r="AK116" s="13">
        <f>IF(AN116=15,M116,0)</f>
        <v>0</v>
      </c>
      <c r="AL116" s="13">
        <f>IF(AN116=21,M116,0)</f>
        <v>0</v>
      </c>
      <c r="AN116" s="13">
        <v>21</v>
      </c>
      <c r="AO116" s="13">
        <f>J116*0.0401051939513478</f>
        <v>0</v>
      </c>
      <c r="AP116" s="13">
        <f>J116*(1-0.0401051939513478)</f>
        <v>0</v>
      </c>
      <c r="AQ116" s="32" t="s">
        <v>1231</v>
      </c>
      <c r="AV116" s="13">
        <f>AW116+AX116</f>
        <v>0</v>
      </c>
      <c r="AW116" s="13">
        <f>I116*AO116</f>
        <v>0</v>
      </c>
      <c r="AX116" s="13">
        <f>I116*AP116</f>
        <v>0</v>
      </c>
      <c r="AY116" s="32" t="s">
        <v>603</v>
      </c>
      <c r="AZ116" s="32" t="s">
        <v>538</v>
      </c>
      <c r="BA116" s="21" t="s">
        <v>854</v>
      </c>
      <c r="BC116" s="13">
        <f>AW116+AX116</f>
        <v>0</v>
      </c>
      <c r="BD116" s="13">
        <f>J116/(100-BE116)*100</f>
        <v>0</v>
      </c>
      <c r="BE116" s="13">
        <v>0</v>
      </c>
      <c r="BF116" s="13">
        <f>116</f>
        <v>116</v>
      </c>
      <c r="BH116" s="13">
        <f>I116*AO116</f>
        <v>0</v>
      </c>
      <c r="BI116" s="13">
        <f>I116*AP116</f>
        <v>0</v>
      </c>
      <c r="BJ116" s="13">
        <f>I116*J116</f>
        <v>0</v>
      </c>
      <c r="BK116" s="13"/>
      <c r="BL116" s="13">
        <v>18</v>
      </c>
    </row>
    <row r="117" spans="1:64" ht="15" customHeight="1">
      <c r="A117" s="11" t="s">
        <v>984</v>
      </c>
      <c r="B117" s="48" t="s">
        <v>103</v>
      </c>
      <c r="C117" s="48" t="s">
        <v>1258</v>
      </c>
      <c r="D117" s="61" t="s">
        <v>1324</v>
      </c>
      <c r="E117" s="61"/>
      <c r="F117" s="61"/>
      <c r="G117" s="61"/>
      <c r="H117" s="48" t="s">
        <v>1172</v>
      </c>
      <c r="I117" s="13">
        <v>5.2</v>
      </c>
      <c r="J117" s="13">
        <v>0</v>
      </c>
      <c r="K117" s="13">
        <f>I117*AO117</f>
        <v>0</v>
      </c>
      <c r="L117" s="13">
        <f>I117*AP117</f>
        <v>0</v>
      </c>
      <c r="M117" s="13">
        <f>I117*J117</f>
        <v>0</v>
      </c>
      <c r="N117" s="13">
        <v>0.001</v>
      </c>
      <c r="O117" s="10" t="s">
        <v>851</v>
      </c>
      <c r="Z117" s="13">
        <f>IF(AQ117="5",BJ117,0)</f>
        <v>0</v>
      </c>
      <c r="AB117" s="13">
        <f>IF(AQ117="1",BH117,0)</f>
        <v>0</v>
      </c>
      <c r="AC117" s="13">
        <f>IF(AQ117="1",BI117,0)</f>
        <v>0</v>
      </c>
      <c r="AD117" s="13">
        <f>IF(AQ117="7",BH117,0)</f>
        <v>0</v>
      </c>
      <c r="AE117" s="13">
        <f>IF(AQ117="7",BI117,0)</f>
        <v>0</v>
      </c>
      <c r="AF117" s="13">
        <f>IF(AQ117="2",BH117,0)</f>
        <v>0</v>
      </c>
      <c r="AG117" s="13">
        <f>IF(AQ117="2",BI117,0)</f>
        <v>0</v>
      </c>
      <c r="AH117" s="13">
        <f>IF(AQ117="0",BJ117,0)</f>
        <v>0</v>
      </c>
      <c r="AI117" s="21" t="s">
        <v>103</v>
      </c>
      <c r="AJ117" s="13">
        <f>IF(AN117=0,M117,0)</f>
        <v>0</v>
      </c>
      <c r="AK117" s="13">
        <f>IF(AN117=15,M117,0)</f>
        <v>0</v>
      </c>
      <c r="AL117" s="13">
        <f>IF(AN117=21,M117,0)</f>
        <v>0</v>
      </c>
      <c r="AN117" s="13">
        <v>21</v>
      </c>
      <c r="AO117" s="13">
        <f>J117*1</f>
        <v>0</v>
      </c>
      <c r="AP117" s="13">
        <f>J117*(1-1)</f>
        <v>0</v>
      </c>
      <c r="AQ117" s="32" t="s">
        <v>1231</v>
      </c>
      <c r="AV117" s="13">
        <f>AW117+AX117</f>
        <v>0</v>
      </c>
      <c r="AW117" s="13">
        <f>I117*AO117</f>
        <v>0</v>
      </c>
      <c r="AX117" s="13">
        <f>I117*AP117</f>
        <v>0</v>
      </c>
      <c r="AY117" s="32" t="s">
        <v>603</v>
      </c>
      <c r="AZ117" s="32" t="s">
        <v>538</v>
      </c>
      <c r="BA117" s="21" t="s">
        <v>854</v>
      </c>
      <c r="BC117" s="13">
        <f>AW117+AX117</f>
        <v>0</v>
      </c>
      <c r="BD117" s="13">
        <f>J117/(100-BE117)*100</f>
        <v>0</v>
      </c>
      <c r="BE117" s="13">
        <v>0</v>
      </c>
      <c r="BF117" s="13">
        <f>117</f>
        <v>117</v>
      </c>
      <c r="BH117" s="13">
        <f>I117*AO117</f>
        <v>0</v>
      </c>
      <c r="BI117" s="13">
        <f>I117*AP117</f>
        <v>0</v>
      </c>
      <c r="BJ117" s="13">
        <f>I117*J117</f>
        <v>0</v>
      </c>
      <c r="BK117" s="13"/>
      <c r="BL117" s="13">
        <v>18</v>
      </c>
    </row>
    <row r="118" spans="1:47" ht="15" customHeight="1">
      <c r="A118" s="30" t="s">
        <v>862</v>
      </c>
      <c r="B118" s="18" t="s">
        <v>103</v>
      </c>
      <c r="C118" s="18" t="s">
        <v>789</v>
      </c>
      <c r="D118" s="73" t="s">
        <v>419</v>
      </c>
      <c r="E118" s="73"/>
      <c r="F118" s="73"/>
      <c r="G118" s="73"/>
      <c r="H118" s="15" t="s">
        <v>1148</v>
      </c>
      <c r="I118" s="15" t="s">
        <v>1148</v>
      </c>
      <c r="J118" s="15" t="s">
        <v>1148</v>
      </c>
      <c r="K118" s="56">
        <f>SUM(K119:K119)</f>
        <v>0</v>
      </c>
      <c r="L118" s="56">
        <f>SUM(L119:L119)</f>
        <v>0</v>
      </c>
      <c r="M118" s="56">
        <f>SUM(M119:M119)</f>
        <v>0</v>
      </c>
      <c r="N118" s="21" t="s">
        <v>862</v>
      </c>
      <c r="O118" s="47" t="s">
        <v>862</v>
      </c>
      <c r="AI118" s="21" t="s">
        <v>103</v>
      </c>
      <c r="AS118" s="56">
        <f>SUM(AJ119:AJ119)</f>
        <v>0</v>
      </c>
      <c r="AT118" s="56">
        <f>SUM(AK119:AK119)</f>
        <v>0</v>
      </c>
      <c r="AU118" s="56">
        <f>SUM(AL119:AL119)</f>
        <v>0</v>
      </c>
    </row>
    <row r="119" spans="1:64" ht="15" customHeight="1">
      <c r="A119" s="11" t="s">
        <v>112</v>
      </c>
      <c r="B119" s="48" t="s">
        <v>103</v>
      </c>
      <c r="C119" s="48" t="s">
        <v>849</v>
      </c>
      <c r="D119" s="61" t="s">
        <v>1192</v>
      </c>
      <c r="E119" s="61"/>
      <c r="F119" s="61"/>
      <c r="G119" s="61"/>
      <c r="H119" s="48" t="s">
        <v>1195</v>
      </c>
      <c r="I119" s="13">
        <v>169.47</v>
      </c>
      <c r="J119" s="13">
        <v>0</v>
      </c>
      <c r="K119" s="13">
        <f>I119*AO119</f>
        <v>0</v>
      </c>
      <c r="L119" s="13">
        <f>I119*AP119</f>
        <v>0</v>
      </c>
      <c r="M119" s="13">
        <f>I119*J119</f>
        <v>0</v>
      </c>
      <c r="N119" s="13">
        <v>0</v>
      </c>
      <c r="O119" s="10" t="s">
        <v>851</v>
      </c>
      <c r="Z119" s="13">
        <f>IF(AQ119="5",BJ119,0)</f>
        <v>0</v>
      </c>
      <c r="AB119" s="13">
        <f>IF(AQ119="1",BH119,0)</f>
        <v>0</v>
      </c>
      <c r="AC119" s="13">
        <f>IF(AQ119="1",BI119,0)</f>
        <v>0</v>
      </c>
      <c r="AD119" s="13">
        <f>IF(AQ119="7",BH119,0)</f>
        <v>0</v>
      </c>
      <c r="AE119" s="13">
        <f>IF(AQ119="7",BI119,0)</f>
        <v>0</v>
      </c>
      <c r="AF119" s="13">
        <f>IF(AQ119="2",BH119,0)</f>
        <v>0</v>
      </c>
      <c r="AG119" s="13">
        <f>IF(AQ119="2",BI119,0)</f>
        <v>0</v>
      </c>
      <c r="AH119" s="13">
        <f>IF(AQ119="0",BJ119,0)</f>
        <v>0</v>
      </c>
      <c r="AI119" s="21" t="s">
        <v>103</v>
      </c>
      <c r="AJ119" s="13">
        <f>IF(AN119=0,M119,0)</f>
        <v>0</v>
      </c>
      <c r="AK119" s="13">
        <f>IF(AN119=15,M119,0)</f>
        <v>0</v>
      </c>
      <c r="AL119" s="13">
        <f>IF(AN119=21,M119,0)</f>
        <v>0</v>
      </c>
      <c r="AN119" s="13">
        <v>21</v>
      </c>
      <c r="AO119" s="13">
        <f>J119*0</f>
        <v>0</v>
      </c>
      <c r="AP119" s="13">
        <f>J119*(1-0)</f>
        <v>0</v>
      </c>
      <c r="AQ119" s="32" t="s">
        <v>1231</v>
      </c>
      <c r="AV119" s="13">
        <f>AW119+AX119</f>
        <v>0</v>
      </c>
      <c r="AW119" s="13">
        <f>I119*AO119</f>
        <v>0</v>
      </c>
      <c r="AX119" s="13">
        <f>I119*AP119</f>
        <v>0</v>
      </c>
      <c r="AY119" s="32" t="s">
        <v>976</v>
      </c>
      <c r="AZ119" s="32" t="s">
        <v>538</v>
      </c>
      <c r="BA119" s="21" t="s">
        <v>854</v>
      </c>
      <c r="BC119" s="13">
        <f>AW119+AX119</f>
        <v>0</v>
      </c>
      <c r="BD119" s="13">
        <f>J119/(100-BE119)*100</f>
        <v>0</v>
      </c>
      <c r="BE119" s="13">
        <v>0</v>
      </c>
      <c r="BF119" s="13">
        <f>119</f>
        <v>119</v>
      </c>
      <c r="BH119" s="13">
        <f>I119*AO119</f>
        <v>0</v>
      </c>
      <c r="BI119" s="13">
        <f>I119*AP119</f>
        <v>0</v>
      </c>
      <c r="BJ119" s="13">
        <f>I119*J119</f>
        <v>0</v>
      </c>
      <c r="BK119" s="13"/>
      <c r="BL119" s="13">
        <v>19</v>
      </c>
    </row>
    <row r="120" spans="1:47" ht="15" customHeight="1">
      <c r="A120" s="30" t="s">
        <v>862</v>
      </c>
      <c r="B120" s="18" t="s">
        <v>103</v>
      </c>
      <c r="C120" s="18" t="s">
        <v>423</v>
      </c>
      <c r="D120" s="73" t="s">
        <v>968</v>
      </c>
      <c r="E120" s="73"/>
      <c r="F120" s="73"/>
      <c r="G120" s="73"/>
      <c r="H120" s="15" t="s">
        <v>1148</v>
      </c>
      <c r="I120" s="15" t="s">
        <v>1148</v>
      </c>
      <c r="J120" s="15" t="s">
        <v>1148</v>
      </c>
      <c r="K120" s="56">
        <f>SUM(K121:K122)</f>
        <v>0</v>
      </c>
      <c r="L120" s="56">
        <f>SUM(L121:L122)</f>
        <v>0</v>
      </c>
      <c r="M120" s="56">
        <f>SUM(M121:M122)</f>
        <v>0</v>
      </c>
      <c r="N120" s="21" t="s">
        <v>862</v>
      </c>
      <c r="O120" s="47" t="s">
        <v>862</v>
      </c>
      <c r="AI120" s="21" t="s">
        <v>103</v>
      </c>
      <c r="AS120" s="56">
        <f>SUM(AJ121:AJ122)</f>
        <v>0</v>
      </c>
      <c r="AT120" s="56">
        <f>SUM(AK121:AK122)</f>
        <v>0</v>
      </c>
      <c r="AU120" s="56">
        <f>SUM(AL121:AL122)</f>
        <v>0</v>
      </c>
    </row>
    <row r="121" spans="1:64" ht="15" customHeight="1">
      <c r="A121" s="11" t="s">
        <v>972</v>
      </c>
      <c r="B121" s="48" t="s">
        <v>103</v>
      </c>
      <c r="C121" s="48" t="s">
        <v>880</v>
      </c>
      <c r="D121" s="61" t="s">
        <v>358</v>
      </c>
      <c r="E121" s="61"/>
      <c r="F121" s="61"/>
      <c r="G121" s="61"/>
      <c r="H121" s="48" t="s">
        <v>1195</v>
      </c>
      <c r="I121" s="13">
        <v>64.47</v>
      </c>
      <c r="J121" s="13">
        <v>0</v>
      </c>
      <c r="K121" s="13">
        <f>I121*AO121</f>
        <v>0</v>
      </c>
      <c r="L121" s="13">
        <f>I121*AP121</f>
        <v>0</v>
      </c>
      <c r="M121" s="13">
        <f>I121*J121</f>
        <v>0</v>
      </c>
      <c r="N121" s="13">
        <v>1.89077</v>
      </c>
      <c r="O121" s="10" t="s">
        <v>851</v>
      </c>
      <c r="Z121" s="13">
        <f>IF(AQ121="5",BJ121,0)</f>
        <v>0</v>
      </c>
      <c r="AB121" s="13">
        <f>IF(AQ121="1",BH121,0)</f>
        <v>0</v>
      </c>
      <c r="AC121" s="13">
        <f>IF(AQ121="1",BI121,0)</f>
        <v>0</v>
      </c>
      <c r="AD121" s="13">
        <f>IF(AQ121="7",BH121,0)</f>
        <v>0</v>
      </c>
      <c r="AE121" s="13">
        <f>IF(AQ121="7",BI121,0)</f>
        <v>0</v>
      </c>
      <c r="AF121" s="13">
        <f>IF(AQ121="2",BH121,0)</f>
        <v>0</v>
      </c>
      <c r="AG121" s="13">
        <f>IF(AQ121="2",BI121,0)</f>
        <v>0</v>
      </c>
      <c r="AH121" s="13">
        <f>IF(AQ121="0",BJ121,0)</f>
        <v>0</v>
      </c>
      <c r="AI121" s="21" t="s">
        <v>103</v>
      </c>
      <c r="AJ121" s="13">
        <f>IF(AN121=0,M121,0)</f>
        <v>0</v>
      </c>
      <c r="AK121" s="13">
        <f>IF(AN121=15,M121,0)</f>
        <v>0</v>
      </c>
      <c r="AL121" s="13">
        <f>IF(AN121=21,M121,0)</f>
        <v>0</v>
      </c>
      <c r="AN121" s="13">
        <v>21</v>
      </c>
      <c r="AO121" s="13">
        <f>J121*0.480904558404558</f>
        <v>0</v>
      </c>
      <c r="AP121" s="13">
        <f>J121*(1-0.480904558404558)</f>
        <v>0</v>
      </c>
      <c r="AQ121" s="32" t="s">
        <v>1231</v>
      </c>
      <c r="AV121" s="13">
        <f>AW121+AX121</f>
        <v>0</v>
      </c>
      <c r="AW121" s="13">
        <f>I121*AO121</f>
        <v>0</v>
      </c>
      <c r="AX121" s="13">
        <f>I121*AP121</f>
        <v>0</v>
      </c>
      <c r="AY121" s="32" t="s">
        <v>594</v>
      </c>
      <c r="AZ121" s="32" t="s">
        <v>1296</v>
      </c>
      <c r="BA121" s="21" t="s">
        <v>854</v>
      </c>
      <c r="BC121" s="13">
        <f>AW121+AX121</f>
        <v>0</v>
      </c>
      <c r="BD121" s="13">
        <f>J121/(100-BE121)*100</f>
        <v>0</v>
      </c>
      <c r="BE121" s="13">
        <v>0</v>
      </c>
      <c r="BF121" s="13">
        <f>121</f>
        <v>121</v>
      </c>
      <c r="BH121" s="13">
        <f>I121*AO121</f>
        <v>0</v>
      </c>
      <c r="BI121" s="13">
        <f>I121*AP121</f>
        <v>0</v>
      </c>
      <c r="BJ121" s="13">
        <f>I121*J121</f>
        <v>0</v>
      </c>
      <c r="BK121" s="13"/>
      <c r="BL121" s="13">
        <v>45</v>
      </c>
    </row>
    <row r="122" spans="1:64" ht="15" customHeight="1">
      <c r="A122" s="11" t="s">
        <v>765</v>
      </c>
      <c r="B122" s="48" t="s">
        <v>103</v>
      </c>
      <c r="C122" s="48" t="s">
        <v>995</v>
      </c>
      <c r="D122" s="61" t="s">
        <v>1335</v>
      </c>
      <c r="E122" s="61"/>
      <c r="F122" s="61"/>
      <c r="G122" s="61"/>
      <c r="H122" s="48" t="s">
        <v>1195</v>
      </c>
      <c r="I122" s="13">
        <v>3.6</v>
      </c>
      <c r="J122" s="13">
        <v>0</v>
      </c>
      <c r="K122" s="13">
        <f>I122*AO122</f>
        <v>0</v>
      </c>
      <c r="L122" s="13">
        <f>I122*AP122</f>
        <v>0</v>
      </c>
      <c r="M122" s="13">
        <f>I122*J122</f>
        <v>0</v>
      </c>
      <c r="N122" s="13">
        <v>2.5</v>
      </c>
      <c r="O122" s="10" t="s">
        <v>851</v>
      </c>
      <c r="Z122" s="13">
        <f>IF(AQ122="5",BJ122,0)</f>
        <v>0</v>
      </c>
      <c r="AB122" s="13">
        <f>IF(AQ122="1",BH122,0)</f>
        <v>0</v>
      </c>
      <c r="AC122" s="13">
        <f>IF(AQ122="1",BI122,0)</f>
        <v>0</v>
      </c>
      <c r="AD122" s="13">
        <f>IF(AQ122="7",BH122,0)</f>
        <v>0</v>
      </c>
      <c r="AE122" s="13">
        <f>IF(AQ122="7",BI122,0)</f>
        <v>0</v>
      </c>
      <c r="AF122" s="13">
        <f>IF(AQ122="2",BH122,0)</f>
        <v>0</v>
      </c>
      <c r="AG122" s="13">
        <f>IF(AQ122="2",BI122,0)</f>
        <v>0</v>
      </c>
      <c r="AH122" s="13">
        <f>IF(AQ122="0",BJ122,0)</f>
        <v>0</v>
      </c>
      <c r="AI122" s="21" t="s">
        <v>103</v>
      </c>
      <c r="AJ122" s="13">
        <f>IF(AN122=0,M122,0)</f>
        <v>0</v>
      </c>
      <c r="AK122" s="13">
        <f>IF(AN122=15,M122,0)</f>
        <v>0</v>
      </c>
      <c r="AL122" s="13">
        <f>IF(AN122=21,M122,0)</f>
        <v>0</v>
      </c>
      <c r="AN122" s="13">
        <v>21</v>
      </c>
      <c r="AO122" s="13">
        <f>J122*0.786681350954479</f>
        <v>0</v>
      </c>
      <c r="AP122" s="13">
        <f>J122*(1-0.786681350954479)</f>
        <v>0</v>
      </c>
      <c r="AQ122" s="32" t="s">
        <v>1231</v>
      </c>
      <c r="AV122" s="13">
        <f>AW122+AX122</f>
        <v>0</v>
      </c>
      <c r="AW122" s="13">
        <f>I122*AO122</f>
        <v>0</v>
      </c>
      <c r="AX122" s="13">
        <f>I122*AP122</f>
        <v>0</v>
      </c>
      <c r="AY122" s="32" t="s">
        <v>594</v>
      </c>
      <c r="AZ122" s="32" t="s">
        <v>1296</v>
      </c>
      <c r="BA122" s="21" t="s">
        <v>854</v>
      </c>
      <c r="BC122" s="13">
        <f>AW122+AX122</f>
        <v>0</v>
      </c>
      <c r="BD122" s="13">
        <f>J122/(100-BE122)*100</f>
        <v>0</v>
      </c>
      <c r="BE122" s="13">
        <v>0</v>
      </c>
      <c r="BF122" s="13">
        <f>122</f>
        <v>122</v>
      </c>
      <c r="BH122" s="13">
        <f>I122*AO122</f>
        <v>0</v>
      </c>
      <c r="BI122" s="13">
        <f>I122*AP122</f>
        <v>0</v>
      </c>
      <c r="BJ122" s="13">
        <f>I122*J122</f>
        <v>0</v>
      </c>
      <c r="BK122" s="13"/>
      <c r="BL122" s="13">
        <v>45</v>
      </c>
    </row>
    <row r="123" spans="1:47" ht="15" customHeight="1">
      <c r="A123" s="30" t="s">
        <v>862</v>
      </c>
      <c r="B123" s="18" t="s">
        <v>103</v>
      </c>
      <c r="C123" s="18" t="s">
        <v>546</v>
      </c>
      <c r="D123" s="73" t="s">
        <v>1168</v>
      </c>
      <c r="E123" s="73"/>
      <c r="F123" s="73"/>
      <c r="G123" s="73"/>
      <c r="H123" s="15" t="s">
        <v>1148</v>
      </c>
      <c r="I123" s="15" t="s">
        <v>1148</v>
      </c>
      <c r="J123" s="15" t="s">
        <v>1148</v>
      </c>
      <c r="K123" s="56">
        <f>SUM(K124:K129)</f>
        <v>0</v>
      </c>
      <c r="L123" s="56">
        <f>SUM(L124:L129)</f>
        <v>0</v>
      </c>
      <c r="M123" s="56">
        <f>SUM(M124:M129)</f>
        <v>0</v>
      </c>
      <c r="N123" s="21" t="s">
        <v>862</v>
      </c>
      <c r="O123" s="47" t="s">
        <v>862</v>
      </c>
      <c r="AI123" s="21" t="s">
        <v>103</v>
      </c>
      <c r="AS123" s="56">
        <f>SUM(AJ124:AJ129)</f>
        <v>0</v>
      </c>
      <c r="AT123" s="56">
        <f>SUM(AK124:AK129)</f>
        <v>0</v>
      </c>
      <c r="AU123" s="56">
        <f>SUM(AL124:AL129)</f>
        <v>0</v>
      </c>
    </row>
    <row r="124" spans="1:64" ht="15" customHeight="1">
      <c r="A124" s="11" t="s">
        <v>1245</v>
      </c>
      <c r="B124" s="48" t="s">
        <v>103</v>
      </c>
      <c r="C124" s="48" t="s">
        <v>666</v>
      </c>
      <c r="D124" s="61" t="s">
        <v>655</v>
      </c>
      <c r="E124" s="61"/>
      <c r="F124" s="61"/>
      <c r="G124" s="61"/>
      <c r="H124" s="48" t="s">
        <v>1216</v>
      </c>
      <c r="I124" s="13">
        <v>1</v>
      </c>
      <c r="J124" s="13">
        <v>0</v>
      </c>
      <c r="K124" s="13">
        <f aca="true" t="shared" si="22" ref="K124:K129">I124*AO124</f>
        <v>0</v>
      </c>
      <c r="L124" s="13">
        <f aca="true" t="shared" si="23" ref="L124:L129">I124*AP124</f>
        <v>0</v>
      </c>
      <c r="M124" s="13">
        <f aca="true" t="shared" si="24" ref="M124:M129">I124*J124</f>
        <v>0</v>
      </c>
      <c r="N124" s="13">
        <v>0.31388</v>
      </c>
      <c r="O124" s="10" t="s">
        <v>851</v>
      </c>
      <c r="Z124" s="13">
        <f aca="true" t="shared" si="25" ref="Z124:Z129">IF(AQ124="5",BJ124,0)</f>
        <v>0</v>
      </c>
      <c r="AB124" s="13">
        <f aca="true" t="shared" si="26" ref="AB124:AB129">IF(AQ124="1",BH124,0)</f>
        <v>0</v>
      </c>
      <c r="AC124" s="13">
        <f aca="true" t="shared" si="27" ref="AC124:AC129">IF(AQ124="1",BI124,0)</f>
        <v>0</v>
      </c>
      <c r="AD124" s="13">
        <f aca="true" t="shared" si="28" ref="AD124:AD129">IF(AQ124="7",BH124,0)</f>
        <v>0</v>
      </c>
      <c r="AE124" s="13">
        <f aca="true" t="shared" si="29" ref="AE124:AE129">IF(AQ124="7",BI124,0)</f>
        <v>0</v>
      </c>
      <c r="AF124" s="13">
        <f aca="true" t="shared" si="30" ref="AF124:AF129">IF(AQ124="2",BH124,0)</f>
        <v>0</v>
      </c>
      <c r="AG124" s="13">
        <f aca="true" t="shared" si="31" ref="AG124:AG129">IF(AQ124="2",BI124,0)</f>
        <v>0</v>
      </c>
      <c r="AH124" s="13">
        <f aca="true" t="shared" si="32" ref="AH124:AH129">IF(AQ124="0",BJ124,0)</f>
        <v>0</v>
      </c>
      <c r="AI124" s="21" t="s">
        <v>103</v>
      </c>
      <c r="AJ124" s="13">
        <f aca="true" t="shared" si="33" ref="AJ124:AJ129">IF(AN124=0,M124,0)</f>
        <v>0</v>
      </c>
      <c r="AK124" s="13">
        <f aca="true" t="shared" si="34" ref="AK124:AK129">IF(AN124=15,M124,0)</f>
        <v>0</v>
      </c>
      <c r="AL124" s="13">
        <f aca="true" t="shared" si="35" ref="AL124:AL129">IF(AN124=21,M124,0)</f>
        <v>0</v>
      </c>
      <c r="AN124" s="13">
        <v>21</v>
      </c>
      <c r="AO124" s="13">
        <f>J124*0.437237903225806</f>
        <v>0</v>
      </c>
      <c r="AP124" s="13">
        <f>J124*(1-0.437237903225806)</f>
        <v>0</v>
      </c>
      <c r="AQ124" s="32" t="s">
        <v>1231</v>
      </c>
      <c r="AV124" s="13">
        <f aca="true" t="shared" si="36" ref="AV124:AV129">AW124+AX124</f>
        <v>0</v>
      </c>
      <c r="AW124" s="13">
        <f aca="true" t="shared" si="37" ref="AW124:AW129">I124*AO124</f>
        <v>0</v>
      </c>
      <c r="AX124" s="13">
        <f aca="true" t="shared" si="38" ref="AX124:AX129">I124*AP124</f>
        <v>0</v>
      </c>
      <c r="AY124" s="32" t="s">
        <v>1219</v>
      </c>
      <c r="AZ124" s="32" t="s">
        <v>1182</v>
      </c>
      <c r="BA124" s="21" t="s">
        <v>854</v>
      </c>
      <c r="BC124" s="13">
        <f aca="true" t="shared" si="39" ref="BC124:BC129">AW124+AX124</f>
        <v>0</v>
      </c>
      <c r="BD124" s="13">
        <f aca="true" t="shared" si="40" ref="BD124:BD129">J124/(100-BE124)*100</f>
        <v>0</v>
      </c>
      <c r="BE124" s="13">
        <v>0</v>
      </c>
      <c r="BF124" s="13">
        <f>124</f>
        <v>124</v>
      </c>
      <c r="BH124" s="13">
        <f aca="true" t="shared" si="41" ref="BH124:BH129">I124*AO124</f>
        <v>0</v>
      </c>
      <c r="BI124" s="13">
        <f aca="true" t="shared" si="42" ref="BI124:BI129">I124*AP124</f>
        <v>0</v>
      </c>
      <c r="BJ124" s="13">
        <f aca="true" t="shared" si="43" ref="BJ124:BJ129">I124*J124</f>
        <v>0</v>
      </c>
      <c r="BK124" s="13"/>
      <c r="BL124" s="13">
        <v>59</v>
      </c>
    </row>
    <row r="125" spans="1:64" ht="15" customHeight="1">
      <c r="A125" s="11" t="s">
        <v>1141</v>
      </c>
      <c r="B125" s="48" t="s">
        <v>103</v>
      </c>
      <c r="C125" s="48" t="s">
        <v>542</v>
      </c>
      <c r="D125" s="61" t="s">
        <v>1289</v>
      </c>
      <c r="E125" s="61"/>
      <c r="F125" s="61"/>
      <c r="G125" s="61"/>
      <c r="H125" s="48" t="s">
        <v>553</v>
      </c>
      <c r="I125" s="13">
        <v>0.5</v>
      </c>
      <c r="J125" s="13">
        <v>0</v>
      </c>
      <c r="K125" s="13">
        <f t="shared" si="22"/>
        <v>0</v>
      </c>
      <c r="L125" s="13">
        <f t="shared" si="23"/>
        <v>0</v>
      </c>
      <c r="M125" s="13">
        <f t="shared" si="24"/>
        <v>0</v>
      </c>
      <c r="N125" s="13">
        <v>1</v>
      </c>
      <c r="O125" s="10" t="s">
        <v>851</v>
      </c>
      <c r="Z125" s="13">
        <f t="shared" si="25"/>
        <v>0</v>
      </c>
      <c r="AB125" s="13">
        <f t="shared" si="26"/>
        <v>0</v>
      </c>
      <c r="AC125" s="13">
        <f t="shared" si="27"/>
        <v>0</v>
      </c>
      <c r="AD125" s="13">
        <f t="shared" si="28"/>
        <v>0</v>
      </c>
      <c r="AE125" s="13">
        <f t="shared" si="29"/>
        <v>0</v>
      </c>
      <c r="AF125" s="13">
        <f t="shared" si="30"/>
        <v>0</v>
      </c>
      <c r="AG125" s="13">
        <f t="shared" si="31"/>
        <v>0</v>
      </c>
      <c r="AH125" s="13">
        <f t="shared" si="32"/>
        <v>0</v>
      </c>
      <c r="AI125" s="21" t="s">
        <v>103</v>
      </c>
      <c r="AJ125" s="13">
        <f t="shared" si="33"/>
        <v>0</v>
      </c>
      <c r="AK125" s="13">
        <f t="shared" si="34"/>
        <v>0</v>
      </c>
      <c r="AL125" s="13">
        <f t="shared" si="35"/>
        <v>0</v>
      </c>
      <c r="AN125" s="13">
        <v>21</v>
      </c>
      <c r="AO125" s="13">
        <f>J125*1</f>
        <v>0</v>
      </c>
      <c r="AP125" s="13">
        <f>J125*(1-1)</f>
        <v>0</v>
      </c>
      <c r="AQ125" s="32" t="s">
        <v>1231</v>
      </c>
      <c r="AV125" s="13">
        <f t="shared" si="36"/>
        <v>0</v>
      </c>
      <c r="AW125" s="13">
        <f t="shared" si="37"/>
        <v>0</v>
      </c>
      <c r="AX125" s="13">
        <f t="shared" si="38"/>
        <v>0</v>
      </c>
      <c r="AY125" s="32" t="s">
        <v>1219</v>
      </c>
      <c r="AZ125" s="32" t="s">
        <v>1182</v>
      </c>
      <c r="BA125" s="21" t="s">
        <v>854</v>
      </c>
      <c r="BC125" s="13">
        <f t="shared" si="39"/>
        <v>0</v>
      </c>
      <c r="BD125" s="13">
        <f t="shared" si="40"/>
        <v>0</v>
      </c>
      <c r="BE125" s="13">
        <v>0</v>
      </c>
      <c r="BF125" s="13">
        <f>125</f>
        <v>125</v>
      </c>
      <c r="BH125" s="13">
        <f t="shared" si="41"/>
        <v>0</v>
      </c>
      <c r="BI125" s="13">
        <f t="shared" si="42"/>
        <v>0</v>
      </c>
      <c r="BJ125" s="13">
        <f t="shared" si="43"/>
        <v>0</v>
      </c>
      <c r="BK125" s="13"/>
      <c r="BL125" s="13">
        <v>59</v>
      </c>
    </row>
    <row r="126" spans="1:64" ht="15" customHeight="1">
      <c r="A126" s="11" t="s">
        <v>830</v>
      </c>
      <c r="B126" s="48" t="s">
        <v>103</v>
      </c>
      <c r="C126" s="48" t="s">
        <v>649</v>
      </c>
      <c r="D126" s="61" t="s">
        <v>1086</v>
      </c>
      <c r="E126" s="61"/>
      <c r="F126" s="61"/>
      <c r="G126" s="61"/>
      <c r="H126" s="48" t="s">
        <v>1018</v>
      </c>
      <c r="I126" s="13">
        <v>29</v>
      </c>
      <c r="J126" s="13">
        <v>0</v>
      </c>
      <c r="K126" s="13">
        <f t="shared" si="22"/>
        <v>0</v>
      </c>
      <c r="L126" s="13">
        <f t="shared" si="23"/>
        <v>0</v>
      </c>
      <c r="M126" s="13">
        <f t="shared" si="24"/>
        <v>0</v>
      </c>
      <c r="N126" s="13">
        <v>0.25207</v>
      </c>
      <c r="O126" s="10" t="s">
        <v>851</v>
      </c>
      <c r="Z126" s="13">
        <f t="shared" si="25"/>
        <v>0</v>
      </c>
      <c r="AB126" s="13">
        <f t="shared" si="26"/>
        <v>0</v>
      </c>
      <c r="AC126" s="13">
        <f t="shared" si="27"/>
        <v>0</v>
      </c>
      <c r="AD126" s="13">
        <f t="shared" si="28"/>
        <v>0</v>
      </c>
      <c r="AE126" s="13">
        <f t="shared" si="29"/>
        <v>0</v>
      </c>
      <c r="AF126" s="13">
        <f t="shared" si="30"/>
        <v>0</v>
      </c>
      <c r="AG126" s="13">
        <f t="shared" si="31"/>
        <v>0</v>
      </c>
      <c r="AH126" s="13">
        <f t="shared" si="32"/>
        <v>0</v>
      </c>
      <c r="AI126" s="21" t="s">
        <v>103</v>
      </c>
      <c r="AJ126" s="13">
        <f t="shared" si="33"/>
        <v>0</v>
      </c>
      <c r="AK126" s="13">
        <f t="shared" si="34"/>
        <v>0</v>
      </c>
      <c r="AL126" s="13">
        <f t="shared" si="35"/>
        <v>0</v>
      </c>
      <c r="AN126" s="13">
        <v>21</v>
      </c>
      <c r="AO126" s="13">
        <f>J126*0.487536</f>
        <v>0</v>
      </c>
      <c r="AP126" s="13">
        <f>J126*(1-0.487536)</f>
        <v>0</v>
      </c>
      <c r="AQ126" s="32" t="s">
        <v>1231</v>
      </c>
      <c r="AV126" s="13">
        <f t="shared" si="36"/>
        <v>0</v>
      </c>
      <c r="AW126" s="13">
        <f t="shared" si="37"/>
        <v>0</v>
      </c>
      <c r="AX126" s="13">
        <f t="shared" si="38"/>
        <v>0</v>
      </c>
      <c r="AY126" s="32" t="s">
        <v>1219</v>
      </c>
      <c r="AZ126" s="32" t="s">
        <v>1182</v>
      </c>
      <c r="BA126" s="21" t="s">
        <v>854</v>
      </c>
      <c r="BC126" s="13">
        <f t="shared" si="39"/>
        <v>0</v>
      </c>
      <c r="BD126" s="13">
        <f t="shared" si="40"/>
        <v>0</v>
      </c>
      <c r="BE126" s="13">
        <v>0</v>
      </c>
      <c r="BF126" s="13">
        <f>126</f>
        <v>126</v>
      </c>
      <c r="BH126" s="13">
        <f t="shared" si="41"/>
        <v>0</v>
      </c>
      <c r="BI126" s="13">
        <f t="shared" si="42"/>
        <v>0</v>
      </c>
      <c r="BJ126" s="13">
        <f t="shared" si="43"/>
        <v>0</v>
      </c>
      <c r="BK126" s="13"/>
      <c r="BL126" s="13">
        <v>59</v>
      </c>
    </row>
    <row r="127" spans="1:64" ht="15" customHeight="1">
      <c r="A127" s="11" t="s">
        <v>618</v>
      </c>
      <c r="B127" s="48" t="s">
        <v>103</v>
      </c>
      <c r="C127" s="48" t="s">
        <v>1368</v>
      </c>
      <c r="D127" s="61" t="s">
        <v>563</v>
      </c>
      <c r="E127" s="61"/>
      <c r="F127" s="61"/>
      <c r="G127" s="61"/>
      <c r="H127" s="48" t="s">
        <v>1018</v>
      </c>
      <c r="I127" s="13">
        <v>29</v>
      </c>
      <c r="J127" s="13">
        <v>0</v>
      </c>
      <c r="K127" s="13">
        <f t="shared" si="22"/>
        <v>0</v>
      </c>
      <c r="L127" s="13">
        <f t="shared" si="23"/>
        <v>0</v>
      </c>
      <c r="M127" s="13">
        <f t="shared" si="24"/>
        <v>0</v>
      </c>
      <c r="N127" s="13">
        <v>0.27693</v>
      </c>
      <c r="O127" s="10" t="s">
        <v>851</v>
      </c>
      <c r="Z127" s="13">
        <f t="shared" si="25"/>
        <v>0</v>
      </c>
      <c r="AB127" s="13">
        <f t="shared" si="26"/>
        <v>0</v>
      </c>
      <c r="AC127" s="13">
        <f t="shared" si="27"/>
        <v>0</v>
      </c>
      <c r="AD127" s="13">
        <f t="shared" si="28"/>
        <v>0</v>
      </c>
      <c r="AE127" s="13">
        <f t="shared" si="29"/>
        <v>0</v>
      </c>
      <c r="AF127" s="13">
        <f t="shared" si="30"/>
        <v>0</v>
      </c>
      <c r="AG127" s="13">
        <f t="shared" si="31"/>
        <v>0</v>
      </c>
      <c r="AH127" s="13">
        <f t="shared" si="32"/>
        <v>0</v>
      </c>
      <c r="AI127" s="21" t="s">
        <v>103</v>
      </c>
      <c r="AJ127" s="13">
        <f t="shared" si="33"/>
        <v>0</v>
      </c>
      <c r="AK127" s="13">
        <f t="shared" si="34"/>
        <v>0</v>
      </c>
      <c r="AL127" s="13">
        <f t="shared" si="35"/>
        <v>0</v>
      </c>
      <c r="AN127" s="13">
        <v>21</v>
      </c>
      <c r="AO127" s="13">
        <f>J127*0.924511228957458</f>
        <v>0</v>
      </c>
      <c r="AP127" s="13">
        <f>J127*(1-0.924511228957458)</f>
        <v>0</v>
      </c>
      <c r="AQ127" s="32" t="s">
        <v>1231</v>
      </c>
      <c r="AV127" s="13">
        <f t="shared" si="36"/>
        <v>0</v>
      </c>
      <c r="AW127" s="13">
        <f t="shared" si="37"/>
        <v>0</v>
      </c>
      <c r="AX127" s="13">
        <f t="shared" si="38"/>
        <v>0</v>
      </c>
      <c r="AY127" s="32" t="s">
        <v>1219</v>
      </c>
      <c r="AZ127" s="32" t="s">
        <v>1182</v>
      </c>
      <c r="BA127" s="21" t="s">
        <v>854</v>
      </c>
      <c r="BC127" s="13">
        <f t="shared" si="39"/>
        <v>0</v>
      </c>
      <c r="BD127" s="13">
        <f t="shared" si="40"/>
        <v>0</v>
      </c>
      <c r="BE127" s="13">
        <v>0</v>
      </c>
      <c r="BF127" s="13">
        <f>127</f>
        <v>127</v>
      </c>
      <c r="BH127" s="13">
        <f t="shared" si="41"/>
        <v>0</v>
      </c>
      <c r="BI127" s="13">
        <f t="shared" si="42"/>
        <v>0</v>
      </c>
      <c r="BJ127" s="13">
        <f t="shared" si="43"/>
        <v>0</v>
      </c>
      <c r="BK127" s="13"/>
      <c r="BL127" s="13">
        <v>59</v>
      </c>
    </row>
    <row r="128" spans="1:64" ht="15" customHeight="1">
      <c r="A128" s="11" t="s">
        <v>266</v>
      </c>
      <c r="B128" s="48" t="s">
        <v>103</v>
      </c>
      <c r="C128" s="48" t="s">
        <v>838</v>
      </c>
      <c r="D128" s="61" t="s">
        <v>1299</v>
      </c>
      <c r="E128" s="61"/>
      <c r="F128" s="61"/>
      <c r="G128" s="61"/>
      <c r="H128" s="48" t="s">
        <v>299</v>
      </c>
      <c r="I128" s="13">
        <v>7</v>
      </c>
      <c r="J128" s="13">
        <v>0</v>
      </c>
      <c r="K128" s="13">
        <f t="shared" si="22"/>
        <v>0</v>
      </c>
      <c r="L128" s="13">
        <f t="shared" si="23"/>
        <v>0</v>
      </c>
      <c r="M128" s="13">
        <f t="shared" si="24"/>
        <v>0</v>
      </c>
      <c r="N128" s="13">
        <v>0.12723</v>
      </c>
      <c r="O128" s="10" t="s">
        <v>851</v>
      </c>
      <c r="Z128" s="13">
        <f t="shared" si="25"/>
        <v>0</v>
      </c>
      <c r="AB128" s="13">
        <f t="shared" si="26"/>
        <v>0</v>
      </c>
      <c r="AC128" s="13">
        <f t="shared" si="27"/>
        <v>0</v>
      </c>
      <c r="AD128" s="13">
        <f t="shared" si="28"/>
        <v>0</v>
      </c>
      <c r="AE128" s="13">
        <f t="shared" si="29"/>
        <v>0</v>
      </c>
      <c r="AF128" s="13">
        <f t="shared" si="30"/>
        <v>0</v>
      </c>
      <c r="AG128" s="13">
        <f t="shared" si="31"/>
        <v>0</v>
      </c>
      <c r="AH128" s="13">
        <f t="shared" si="32"/>
        <v>0</v>
      </c>
      <c r="AI128" s="21" t="s">
        <v>103</v>
      </c>
      <c r="AJ128" s="13">
        <f t="shared" si="33"/>
        <v>0</v>
      </c>
      <c r="AK128" s="13">
        <f t="shared" si="34"/>
        <v>0</v>
      </c>
      <c r="AL128" s="13">
        <f t="shared" si="35"/>
        <v>0</v>
      </c>
      <c r="AN128" s="13">
        <v>21</v>
      </c>
      <c r="AO128" s="13">
        <f>J128*0.313404255319149</f>
        <v>0</v>
      </c>
      <c r="AP128" s="13">
        <f>J128*(1-0.313404255319149)</f>
        <v>0</v>
      </c>
      <c r="AQ128" s="32" t="s">
        <v>1231</v>
      </c>
      <c r="AV128" s="13">
        <f t="shared" si="36"/>
        <v>0</v>
      </c>
      <c r="AW128" s="13">
        <f t="shared" si="37"/>
        <v>0</v>
      </c>
      <c r="AX128" s="13">
        <f t="shared" si="38"/>
        <v>0</v>
      </c>
      <c r="AY128" s="32" t="s">
        <v>1219</v>
      </c>
      <c r="AZ128" s="32" t="s">
        <v>1182</v>
      </c>
      <c r="BA128" s="21" t="s">
        <v>854</v>
      </c>
      <c r="BC128" s="13">
        <f t="shared" si="39"/>
        <v>0</v>
      </c>
      <c r="BD128" s="13">
        <f t="shared" si="40"/>
        <v>0</v>
      </c>
      <c r="BE128" s="13">
        <v>0</v>
      </c>
      <c r="BF128" s="13">
        <f>128</f>
        <v>128</v>
      </c>
      <c r="BH128" s="13">
        <f t="shared" si="41"/>
        <v>0</v>
      </c>
      <c r="BI128" s="13">
        <f t="shared" si="42"/>
        <v>0</v>
      </c>
      <c r="BJ128" s="13">
        <f t="shared" si="43"/>
        <v>0</v>
      </c>
      <c r="BK128" s="13"/>
      <c r="BL128" s="13">
        <v>59</v>
      </c>
    </row>
    <row r="129" spans="1:64" ht="15" customHeight="1">
      <c r="A129" s="11" t="s">
        <v>111</v>
      </c>
      <c r="B129" s="48" t="s">
        <v>103</v>
      </c>
      <c r="C129" s="48" t="s">
        <v>1</v>
      </c>
      <c r="D129" s="61" t="s">
        <v>468</v>
      </c>
      <c r="E129" s="61"/>
      <c r="F129" s="61"/>
      <c r="G129" s="61"/>
      <c r="H129" s="48" t="s">
        <v>299</v>
      </c>
      <c r="I129" s="13">
        <v>7</v>
      </c>
      <c r="J129" s="13">
        <v>0</v>
      </c>
      <c r="K129" s="13">
        <f t="shared" si="22"/>
        <v>0</v>
      </c>
      <c r="L129" s="13">
        <f t="shared" si="23"/>
        <v>0</v>
      </c>
      <c r="M129" s="13">
        <f t="shared" si="24"/>
        <v>0</v>
      </c>
      <c r="N129" s="13">
        <v>0.16423</v>
      </c>
      <c r="O129" s="10" t="s">
        <v>851</v>
      </c>
      <c r="Z129" s="13">
        <f t="shared" si="25"/>
        <v>0</v>
      </c>
      <c r="AB129" s="13">
        <f t="shared" si="26"/>
        <v>0</v>
      </c>
      <c r="AC129" s="13">
        <f t="shared" si="27"/>
        <v>0</v>
      </c>
      <c r="AD129" s="13">
        <f t="shared" si="28"/>
        <v>0</v>
      </c>
      <c r="AE129" s="13">
        <f t="shared" si="29"/>
        <v>0</v>
      </c>
      <c r="AF129" s="13">
        <f t="shared" si="30"/>
        <v>0</v>
      </c>
      <c r="AG129" s="13">
        <f t="shared" si="31"/>
        <v>0</v>
      </c>
      <c r="AH129" s="13">
        <f t="shared" si="32"/>
        <v>0</v>
      </c>
      <c r="AI129" s="21" t="s">
        <v>103</v>
      </c>
      <c r="AJ129" s="13">
        <f t="shared" si="33"/>
        <v>0</v>
      </c>
      <c r="AK129" s="13">
        <f t="shared" si="34"/>
        <v>0</v>
      </c>
      <c r="AL129" s="13">
        <f t="shared" si="35"/>
        <v>0</v>
      </c>
      <c r="AN129" s="13">
        <v>21</v>
      </c>
      <c r="AO129" s="13">
        <f>J129*0.950955410729535</f>
        <v>0</v>
      </c>
      <c r="AP129" s="13">
        <f>J129*(1-0.950955410729535)</f>
        <v>0</v>
      </c>
      <c r="AQ129" s="32" t="s">
        <v>1231</v>
      </c>
      <c r="AV129" s="13">
        <f t="shared" si="36"/>
        <v>0</v>
      </c>
      <c r="AW129" s="13">
        <f t="shared" si="37"/>
        <v>0</v>
      </c>
      <c r="AX129" s="13">
        <f t="shared" si="38"/>
        <v>0</v>
      </c>
      <c r="AY129" s="32" t="s">
        <v>1219</v>
      </c>
      <c r="AZ129" s="32" t="s">
        <v>1182</v>
      </c>
      <c r="BA129" s="21" t="s">
        <v>854</v>
      </c>
      <c r="BC129" s="13">
        <f t="shared" si="39"/>
        <v>0</v>
      </c>
      <c r="BD129" s="13">
        <f t="shared" si="40"/>
        <v>0</v>
      </c>
      <c r="BE129" s="13">
        <v>0</v>
      </c>
      <c r="BF129" s="13">
        <f>129</f>
        <v>129</v>
      </c>
      <c r="BH129" s="13">
        <f t="shared" si="41"/>
        <v>0</v>
      </c>
      <c r="BI129" s="13">
        <f t="shared" si="42"/>
        <v>0</v>
      </c>
      <c r="BJ129" s="13">
        <f t="shared" si="43"/>
        <v>0</v>
      </c>
      <c r="BK129" s="13"/>
      <c r="BL129" s="13">
        <v>59</v>
      </c>
    </row>
    <row r="130" spans="1:47" ht="15" customHeight="1">
      <c r="A130" s="30" t="s">
        <v>862</v>
      </c>
      <c r="B130" s="18" t="s">
        <v>103</v>
      </c>
      <c r="C130" s="18" t="s">
        <v>796</v>
      </c>
      <c r="D130" s="73" t="s">
        <v>1397</v>
      </c>
      <c r="E130" s="73"/>
      <c r="F130" s="73"/>
      <c r="G130" s="73"/>
      <c r="H130" s="15" t="s">
        <v>1148</v>
      </c>
      <c r="I130" s="15" t="s">
        <v>1148</v>
      </c>
      <c r="J130" s="15" t="s">
        <v>1148</v>
      </c>
      <c r="K130" s="56">
        <f>SUM(K131:K131)</f>
        <v>0</v>
      </c>
      <c r="L130" s="56">
        <f>SUM(L131:L131)</f>
        <v>0</v>
      </c>
      <c r="M130" s="56">
        <f>SUM(M131:M131)</f>
        <v>0</v>
      </c>
      <c r="N130" s="21" t="s">
        <v>862</v>
      </c>
      <c r="O130" s="47" t="s">
        <v>862</v>
      </c>
      <c r="AI130" s="21" t="s">
        <v>103</v>
      </c>
      <c r="AS130" s="56">
        <f>SUM(AJ131:AJ131)</f>
        <v>0</v>
      </c>
      <c r="AT130" s="56">
        <f>SUM(AK131:AK131)</f>
        <v>0</v>
      </c>
      <c r="AU130" s="56">
        <f>SUM(AL131:AL131)</f>
        <v>0</v>
      </c>
    </row>
    <row r="131" spans="1:64" ht="15" customHeight="1">
      <c r="A131" s="11" t="s">
        <v>1215</v>
      </c>
      <c r="B131" s="48" t="s">
        <v>103</v>
      </c>
      <c r="C131" s="48" t="s">
        <v>623</v>
      </c>
      <c r="D131" s="61" t="s">
        <v>782</v>
      </c>
      <c r="E131" s="61"/>
      <c r="F131" s="61"/>
      <c r="G131" s="61"/>
      <c r="H131" s="48" t="s">
        <v>299</v>
      </c>
      <c r="I131" s="13">
        <v>22</v>
      </c>
      <c r="J131" s="13">
        <v>0</v>
      </c>
      <c r="K131" s="13">
        <f>I131*AO131</f>
        <v>0</v>
      </c>
      <c r="L131" s="13">
        <f>I131*AP131</f>
        <v>0</v>
      </c>
      <c r="M131" s="13">
        <f>I131*J131</f>
        <v>0</v>
      </c>
      <c r="N131" s="13">
        <v>0.0202</v>
      </c>
      <c r="O131" s="10" t="s">
        <v>851</v>
      </c>
      <c r="Z131" s="13">
        <f>IF(AQ131="5",BJ131,0)</f>
        <v>0</v>
      </c>
      <c r="AB131" s="13">
        <f>IF(AQ131="1",BH131,0)</f>
        <v>0</v>
      </c>
      <c r="AC131" s="13">
        <f>IF(AQ131="1",BI131,0)</f>
        <v>0</v>
      </c>
      <c r="AD131" s="13">
        <f>IF(AQ131="7",BH131,0)</f>
        <v>0</v>
      </c>
      <c r="AE131" s="13">
        <f>IF(AQ131="7",BI131,0)</f>
        <v>0</v>
      </c>
      <c r="AF131" s="13">
        <f>IF(AQ131="2",BH131,0)</f>
        <v>0</v>
      </c>
      <c r="AG131" s="13">
        <f>IF(AQ131="2",BI131,0)</f>
        <v>0</v>
      </c>
      <c r="AH131" s="13">
        <f>IF(AQ131="0",BJ131,0)</f>
        <v>0</v>
      </c>
      <c r="AI131" s="21" t="s">
        <v>103</v>
      </c>
      <c r="AJ131" s="13">
        <f>IF(AN131=0,M131,0)</f>
        <v>0</v>
      </c>
      <c r="AK131" s="13">
        <f>IF(AN131=15,M131,0)</f>
        <v>0</v>
      </c>
      <c r="AL131" s="13">
        <f>IF(AN131=21,M131,0)</f>
        <v>0</v>
      </c>
      <c r="AN131" s="13">
        <v>21</v>
      </c>
      <c r="AO131" s="13">
        <f>J131*0.864684989397324</f>
        <v>0</v>
      </c>
      <c r="AP131" s="13">
        <f>J131*(1-0.864684989397324)</f>
        <v>0</v>
      </c>
      <c r="AQ131" s="32" t="s">
        <v>1233</v>
      </c>
      <c r="AV131" s="13">
        <f>AW131+AX131</f>
        <v>0</v>
      </c>
      <c r="AW131" s="13">
        <f>I131*AO131</f>
        <v>0</v>
      </c>
      <c r="AX131" s="13">
        <f>I131*AP131</f>
        <v>0</v>
      </c>
      <c r="AY131" s="32" t="s">
        <v>184</v>
      </c>
      <c r="AZ131" s="32" t="s">
        <v>948</v>
      </c>
      <c r="BA131" s="21" t="s">
        <v>854</v>
      </c>
      <c r="BC131" s="13">
        <f>AW131+AX131</f>
        <v>0</v>
      </c>
      <c r="BD131" s="13">
        <f>J131/(100-BE131)*100</f>
        <v>0</v>
      </c>
      <c r="BE131" s="13">
        <v>0</v>
      </c>
      <c r="BF131" s="13">
        <f>131</f>
        <v>131</v>
      </c>
      <c r="BH131" s="13">
        <f>I131*AO131</f>
        <v>0</v>
      </c>
      <c r="BI131" s="13">
        <f>I131*AP131</f>
        <v>0</v>
      </c>
      <c r="BJ131" s="13">
        <f>I131*J131</f>
        <v>0</v>
      </c>
      <c r="BK131" s="13"/>
      <c r="BL131" s="13">
        <v>721</v>
      </c>
    </row>
    <row r="132" spans="1:47" ht="15" customHeight="1">
      <c r="A132" s="30" t="s">
        <v>862</v>
      </c>
      <c r="B132" s="18" t="s">
        <v>103</v>
      </c>
      <c r="C132" s="18" t="s">
        <v>57</v>
      </c>
      <c r="D132" s="73" t="s">
        <v>93</v>
      </c>
      <c r="E132" s="73"/>
      <c r="F132" s="73"/>
      <c r="G132" s="73"/>
      <c r="H132" s="15" t="s">
        <v>1148</v>
      </c>
      <c r="I132" s="15" t="s">
        <v>1148</v>
      </c>
      <c r="J132" s="15" t="s">
        <v>1148</v>
      </c>
      <c r="K132" s="56">
        <f>SUM(K133:K141)</f>
        <v>0</v>
      </c>
      <c r="L132" s="56">
        <f>SUM(L133:L141)</f>
        <v>0</v>
      </c>
      <c r="M132" s="56">
        <f>SUM(M133:M141)</f>
        <v>0</v>
      </c>
      <c r="N132" s="21" t="s">
        <v>862</v>
      </c>
      <c r="O132" s="47" t="s">
        <v>862</v>
      </c>
      <c r="AI132" s="21" t="s">
        <v>103</v>
      </c>
      <c r="AS132" s="56">
        <f>SUM(AJ133:AJ141)</f>
        <v>0</v>
      </c>
      <c r="AT132" s="56">
        <f>SUM(AK133:AK141)</f>
        <v>0</v>
      </c>
      <c r="AU132" s="56">
        <f>SUM(AL133:AL141)</f>
        <v>0</v>
      </c>
    </row>
    <row r="133" spans="1:64" ht="15" customHeight="1">
      <c r="A133" s="11" t="s">
        <v>204</v>
      </c>
      <c r="B133" s="48" t="s">
        <v>103</v>
      </c>
      <c r="C133" s="48" t="s">
        <v>660</v>
      </c>
      <c r="D133" s="61" t="s">
        <v>831</v>
      </c>
      <c r="E133" s="61"/>
      <c r="F133" s="61"/>
      <c r="G133" s="61"/>
      <c r="H133" s="48" t="s">
        <v>1018</v>
      </c>
      <c r="I133" s="13">
        <v>460.5</v>
      </c>
      <c r="J133" s="13">
        <v>0</v>
      </c>
      <c r="K133" s="13">
        <f aca="true" t="shared" si="44" ref="K133:K141">I133*AO133</f>
        <v>0</v>
      </c>
      <c r="L133" s="13">
        <f aca="true" t="shared" si="45" ref="L133:L141">I133*AP133</f>
        <v>0</v>
      </c>
      <c r="M133" s="13">
        <f aca="true" t="shared" si="46" ref="M133:M141">I133*J133</f>
        <v>0</v>
      </c>
      <c r="N133" s="13">
        <v>1E-05</v>
      </c>
      <c r="O133" s="10" t="s">
        <v>851</v>
      </c>
      <c r="Z133" s="13">
        <f aca="true" t="shared" si="47" ref="Z133:Z141">IF(AQ133="5",BJ133,0)</f>
        <v>0</v>
      </c>
      <c r="AB133" s="13">
        <f aca="true" t="shared" si="48" ref="AB133:AB141">IF(AQ133="1",BH133,0)</f>
        <v>0</v>
      </c>
      <c r="AC133" s="13">
        <f aca="true" t="shared" si="49" ref="AC133:AC141">IF(AQ133="1",BI133,0)</f>
        <v>0</v>
      </c>
      <c r="AD133" s="13">
        <f aca="true" t="shared" si="50" ref="AD133:AD141">IF(AQ133="7",BH133,0)</f>
        <v>0</v>
      </c>
      <c r="AE133" s="13">
        <f aca="true" t="shared" si="51" ref="AE133:AE141">IF(AQ133="7",BI133,0)</f>
        <v>0</v>
      </c>
      <c r="AF133" s="13">
        <f aca="true" t="shared" si="52" ref="AF133:AF141">IF(AQ133="2",BH133,0)</f>
        <v>0</v>
      </c>
      <c r="AG133" s="13">
        <f aca="true" t="shared" si="53" ref="AG133:AG141">IF(AQ133="2",BI133,0)</f>
        <v>0</v>
      </c>
      <c r="AH133" s="13">
        <f aca="true" t="shared" si="54" ref="AH133:AH141">IF(AQ133="0",BJ133,0)</f>
        <v>0</v>
      </c>
      <c r="AI133" s="21" t="s">
        <v>103</v>
      </c>
      <c r="AJ133" s="13">
        <f aca="true" t="shared" si="55" ref="AJ133:AJ141">IF(AN133=0,M133,0)</f>
        <v>0</v>
      </c>
      <c r="AK133" s="13">
        <f aca="true" t="shared" si="56" ref="AK133:AK141">IF(AN133=15,M133,0)</f>
        <v>0</v>
      </c>
      <c r="AL133" s="13">
        <f aca="true" t="shared" si="57" ref="AL133:AL141">IF(AN133=21,M133,0)</f>
        <v>0</v>
      </c>
      <c r="AN133" s="13">
        <v>21</v>
      </c>
      <c r="AO133" s="13">
        <f>J133*0.006</f>
        <v>0</v>
      </c>
      <c r="AP133" s="13">
        <f>J133*(1-0.006)</f>
        <v>0</v>
      </c>
      <c r="AQ133" s="32" t="s">
        <v>1231</v>
      </c>
      <c r="AV133" s="13">
        <f aca="true" t="shared" si="58" ref="AV133:AV141">AW133+AX133</f>
        <v>0</v>
      </c>
      <c r="AW133" s="13">
        <f aca="true" t="shared" si="59" ref="AW133:AW141">I133*AO133</f>
        <v>0</v>
      </c>
      <c r="AX133" s="13">
        <f aca="true" t="shared" si="60" ref="AX133:AX141">I133*AP133</f>
        <v>0</v>
      </c>
      <c r="AY133" s="32" t="s">
        <v>81</v>
      </c>
      <c r="AZ133" s="32" t="s">
        <v>440</v>
      </c>
      <c r="BA133" s="21" t="s">
        <v>854</v>
      </c>
      <c r="BC133" s="13">
        <f aca="true" t="shared" si="61" ref="BC133:BC141">AW133+AX133</f>
        <v>0</v>
      </c>
      <c r="BD133" s="13">
        <f aca="true" t="shared" si="62" ref="BD133:BD141">J133/(100-BE133)*100</f>
        <v>0</v>
      </c>
      <c r="BE133" s="13">
        <v>0</v>
      </c>
      <c r="BF133" s="13">
        <f>133</f>
        <v>133</v>
      </c>
      <c r="BH133" s="13">
        <f aca="true" t="shared" si="63" ref="BH133:BH141">I133*AO133</f>
        <v>0</v>
      </c>
      <c r="BI133" s="13">
        <f aca="true" t="shared" si="64" ref="BI133:BI141">I133*AP133</f>
        <v>0</v>
      </c>
      <c r="BJ133" s="13">
        <f aca="true" t="shared" si="65" ref="BJ133:BJ141">I133*J133</f>
        <v>0</v>
      </c>
      <c r="BK133" s="13"/>
      <c r="BL133" s="13">
        <v>87</v>
      </c>
    </row>
    <row r="134" spans="1:64" ht="15" customHeight="1">
      <c r="A134" s="11" t="s">
        <v>222</v>
      </c>
      <c r="B134" s="48" t="s">
        <v>103</v>
      </c>
      <c r="C134" s="48" t="s">
        <v>861</v>
      </c>
      <c r="D134" s="61" t="s">
        <v>1347</v>
      </c>
      <c r="E134" s="61"/>
      <c r="F134" s="61"/>
      <c r="G134" s="61"/>
      <c r="H134" s="48" t="s">
        <v>299</v>
      </c>
      <c r="I134" s="13">
        <v>8</v>
      </c>
      <c r="J134" s="13">
        <v>0</v>
      </c>
      <c r="K134" s="13">
        <f t="shared" si="44"/>
        <v>0</v>
      </c>
      <c r="L134" s="13">
        <f t="shared" si="45"/>
        <v>0</v>
      </c>
      <c r="M134" s="13">
        <f t="shared" si="46"/>
        <v>0</v>
      </c>
      <c r="N134" s="13">
        <v>0.0348</v>
      </c>
      <c r="O134" s="10" t="s">
        <v>851</v>
      </c>
      <c r="Z134" s="13">
        <f t="shared" si="47"/>
        <v>0</v>
      </c>
      <c r="AB134" s="13">
        <f t="shared" si="48"/>
        <v>0</v>
      </c>
      <c r="AC134" s="13">
        <f t="shared" si="49"/>
        <v>0</v>
      </c>
      <c r="AD134" s="13">
        <f t="shared" si="50"/>
        <v>0</v>
      </c>
      <c r="AE134" s="13">
        <f t="shared" si="51"/>
        <v>0</v>
      </c>
      <c r="AF134" s="13">
        <f t="shared" si="52"/>
        <v>0</v>
      </c>
      <c r="AG134" s="13">
        <f t="shared" si="53"/>
        <v>0</v>
      </c>
      <c r="AH134" s="13">
        <f t="shared" si="54"/>
        <v>0</v>
      </c>
      <c r="AI134" s="21" t="s">
        <v>103</v>
      </c>
      <c r="AJ134" s="13">
        <f t="shared" si="55"/>
        <v>0</v>
      </c>
      <c r="AK134" s="13">
        <f t="shared" si="56"/>
        <v>0</v>
      </c>
      <c r="AL134" s="13">
        <f t="shared" si="57"/>
        <v>0</v>
      </c>
      <c r="AN134" s="13">
        <v>21</v>
      </c>
      <c r="AO134" s="13">
        <f>J134*1</f>
        <v>0</v>
      </c>
      <c r="AP134" s="13">
        <f>J134*(1-1)</f>
        <v>0</v>
      </c>
      <c r="AQ134" s="32" t="s">
        <v>1231</v>
      </c>
      <c r="AV134" s="13">
        <f t="shared" si="58"/>
        <v>0</v>
      </c>
      <c r="AW134" s="13">
        <f t="shared" si="59"/>
        <v>0</v>
      </c>
      <c r="AX134" s="13">
        <f t="shared" si="60"/>
        <v>0</v>
      </c>
      <c r="AY134" s="32" t="s">
        <v>81</v>
      </c>
      <c r="AZ134" s="32" t="s">
        <v>440</v>
      </c>
      <c r="BA134" s="21" t="s">
        <v>854</v>
      </c>
      <c r="BC134" s="13">
        <f t="shared" si="61"/>
        <v>0</v>
      </c>
      <c r="BD134" s="13">
        <f t="shared" si="62"/>
        <v>0</v>
      </c>
      <c r="BE134" s="13">
        <v>0</v>
      </c>
      <c r="BF134" s="13">
        <f>134</f>
        <v>134</v>
      </c>
      <c r="BH134" s="13">
        <f t="shared" si="63"/>
        <v>0</v>
      </c>
      <c r="BI134" s="13">
        <f t="shared" si="64"/>
        <v>0</v>
      </c>
      <c r="BJ134" s="13">
        <f t="shared" si="65"/>
        <v>0</v>
      </c>
      <c r="BK134" s="13"/>
      <c r="BL134" s="13">
        <v>87</v>
      </c>
    </row>
    <row r="135" spans="1:64" ht="15" customHeight="1">
      <c r="A135" s="11" t="s">
        <v>1256</v>
      </c>
      <c r="B135" s="48" t="s">
        <v>103</v>
      </c>
      <c r="C135" s="48" t="s">
        <v>597</v>
      </c>
      <c r="D135" s="61" t="s">
        <v>1089</v>
      </c>
      <c r="E135" s="61"/>
      <c r="F135" s="61"/>
      <c r="G135" s="61"/>
      <c r="H135" s="48" t="s">
        <v>299</v>
      </c>
      <c r="I135" s="13">
        <v>75</v>
      </c>
      <c r="J135" s="13">
        <v>0</v>
      </c>
      <c r="K135" s="13">
        <f t="shared" si="44"/>
        <v>0</v>
      </c>
      <c r="L135" s="13">
        <f t="shared" si="45"/>
        <v>0</v>
      </c>
      <c r="M135" s="13">
        <f t="shared" si="46"/>
        <v>0</v>
      </c>
      <c r="N135" s="13">
        <v>0.0659</v>
      </c>
      <c r="O135" s="10" t="s">
        <v>851</v>
      </c>
      <c r="Z135" s="13">
        <f t="shared" si="47"/>
        <v>0</v>
      </c>
      <c r="AB135" s="13">
        <f t="shared" si="48"/>
        <v>0</v>
      </c>
      <c r="AC135" s="13">
        <f t="shared" si="49"/>
        <v>0</v>
      </c>
      <c r="AD135" s="13">
        <f t="shared" si="50"/>
        <v>0</v>
      </c>
      <c r="AE135" s="13">
        <f t="shared" si="51"/>
        <v>0</v>
      </c>
      <c r="AF135" s="13">
        <f t="shared" si="52"/>
        <v>0</v>
      </c>
      <c r="AG135" s="13">
        <f t="shared" si="53"/>
        <v>0</v>
      </c>
      <c r="AH135" s="13">
        <f t="shared" si="54"/>
        <v>0</v>
      </c>
      <c r="AI135" s="21" t="s">
        <v>103</v>
      </c>
      <c r="AJ135" s="13">
        <f t="shared" si="55"/>
        <v>0</v>
      </c>
      <c r="AK135" s="13">
        <f t="shared" si="56"/>
        <v>0</v>
      </c>
      <c r="AL135" s="13">
        <f t="shared" si="57"/>
        <v>0</v>
      </c>
      <c r="AN135" s="13">
        <v>21</v>
      </c>
      <c r="AO135" s="13">
        <f>J135*1</f>
        <v>0</v>
      </c>
      <c r="AP135" s="13">
        <f>J135*(1-1)</f>
        <v>0</v>
      </c>
      <c r="AQ135" s="32" t="s">
        <v>1231</v>
      </c>
      <c r="AV135" s="13">
        <f t="shared" si="58"/>
        <v>0</v>
      </c>
      <c r="AW135" s="13">
        <f t="shared" si="59"/>
        <v>0</v>
      </c>
      <c r="AX135" s="13">
        <f t="shared" si="60"/>
        <v>0</v>
      </c>
      <c r="AY135" s="32" t="s">
        <v>81</v>
      </c>
      <c r="AZ135" s="32" t="s">
        <v>440</v>
      </c>
      <c r="BA135" s="21" t="s">
        <v>854</v>
      </c>
      <c r="BC135" s="13">
        <f t="shared" si="61"/>
        <v>0</v>
      </c>
      <c r="BD135" s="13">
        <f t="shared" si="62"/>
        <v>0</v>
      </c>
      <c r="BE135" s="13">
        <v>0</v>
      </c>
      <c r="BF135" s="13">
        <f>135</f>
        <v>135</v>
      </c>
      <c r="BH135" s="13">
        <f t="shared" si="63"/>
        <v>0</v>
      </c>
      <c r="BI135" s="13">
        <f t="shared" si="64"/>
        <v>0</v>
      </c>
      <c r="BJ135" s="13">
        <f t="shared" si="65"/>
        <v>0</v>
      </c>
      <c r="BK135" s="13"/>
      <c r="BL135" s="13">
        <v>87</v>
      </c>
    </row>
    <row r="136" spans="1:64" ht="15" customHeight="1">
      <c r="A136" s="11" t="s">
        <v>737</v>
      </c>
      <c r="B136" s="48" t="s">
        <v>103</v>
      </c>
      <c r="C136" s="48" t="s">
        <v>8</v>
      </c>
      <c r="D136" s="61" t="s">
        <v>434</v>
      </c>
      <c r="E136" s="61"/>
      <c r="F136" s="61"/>
      <c r="G136" s="61"/>
      <c r="H136" s="48" t="s">
        <v>299</v>
      </c>
      <c r="I136" s="13">
        <v>66</v>
      </c>
      <c r="J136" s="13">
        <v>0</v>
      </c>
      <c r="K136" s="13">
        <f t="shared" si="44"/>
        <v>0</v>
      </c>
      <c r="L136" s="13">
        <f t="shared" si="45"/>
        <v>0</v>
      </c>
      <c r="M136" s="13">
        <f t="shared" si="46"/>
        <v>0</v>
      </c>
      <c r="N136" s="13">
        <v>5E-05</v>
      </c>
      <c r="O136" s="10" t="s">
        <v>851</v>
      </c>
      <c r="Z136" s="13">
        <f t="shared" si="47"/>
        <v>0</v>
      </c>
      <c r="AB136" s="13">
        <f t="shared" si="48"/>
        <v>0</v>
      </c>
      <c r="AC136" s="13">
        <f t="shared" si="49"/>
        <v>0</v>
      </c>
      <c r="AD136" s="13">
        <f t="shared" si="50"/>
        <v>0</v>
      </c>
      <c r="AE136" s="13">
        <f t="shared" si="51"/>
        <v>0</v>
      </c>
      <c r="AF136" s="13">
        <f t="shared" si="52"/>
        <v>0</v>
      </c>
      <c r="AG136" s="13">
        <f t="shared" si="53"/>
        <v>0</v>
      </c>
      <c r="AH136" s="13">
        <f t="shared" si="54"/>
        <v>0</v>
      </c>
      <c r="AI136" s="21" t="s">
        <v>103</v>
      </c>
      <c r="AJ136" s="13">
        <f t="shared" si="55"/>
        <v>0</v>
      </c>
      <c r="AK136" s="13">
        <f t="shared" si="56"/>
        <v>0</v>
      </c>
      <c r="AL136" s="13">
        <f t="shared" si="57"/>
        <v>0</v>
      </c>
      <c r="AN136" s="13">
        <v>21</v>
      </c>
      <c r="AO136" s="13">
        <f>J136*0.00831423306817671</f>
        <v>0</v>
      </c>
      <c r="AP136" s="13">
        <f>J136*(1-0.00831423306817671)</f>
        <v>0</v>
      </c>
      <c r="AQ136" s="32" t="s">
        <v>1231</v>
      </c>
      <c r="AV136" s="13">
        <f t="shared" si="58"/>
        <v>0</v>
      </c>
      <c r="AW136" s="13">
        <f t="shared" si="59"/>
        <v>0</v>
      </c>
      <c r="AX136" s="13">
        <f t="shared" si="60"/>
        <v>0</v>
      </c>
      <c r="AY136" s="32" t="s">
        <v>81</v>
      </c>
      <c r="AZ136" s="32" t="s">
        <v>440</v>
      </c>
      <c r="BA136" s="21" t="s">
        <v>854</v>
      </c>
      <c r="BC136" s="13">
        <f t="shared" si="61"/>
        <v>0</v>
      </c>
      <c r="BD136" s="13">
        <f t="shared" si="62"/>
        <v>0</v>
      </c>
      <c r="BE136" s="13">
        <v>0</v>
      </c>
      <c r="BF136" s="13">
        <f>136</f>
        <v>136</v>
      </c>
      <c r="BH136" s="13">
        <f t="shared" si="63"/>
        <v>0</v>
      </c>
      <c r="BI136" s="13">
        <f t="shared" si="64"/>
        <v>0</v>
      </c>
      <c r="BJ136" s="13">
        <f t="shared" si="65"/>
        <v>0</v>
      </c>
      <c r="BK136" s="13"/>
      <c r="BL136" s="13">
        <v>87</v>
      </c>
    </row>
    <row r="137" spans="1:64" ht="15" customHeight="1">
      <c r="A137" s="11" t="s">
        <v>596</v>
      </c>
      <c r="B137" s="48" t="s">
        <v>103</v>
      </c>
      <c r="C137" s="48" t="s">
        <v>1047</v>
      </c>
      <c r="D137" s="61" t="s">
        <v>254</v>
      </c>
      <c r="E137" s="61"/>
      <c r="F137" s="61"/>
      <c r="G137" s="61"/>
      <c r="H137" s="48" t="s">
        <v>299</v>
      </c>
      <c r="I137" s="13">
        <v>66</v>
      </c>
      <c r="J137" s="13">
        <v>0</v>
      </c>
      <c r="K137" s="13">
        <f t="shared" si="44"/>
        <v>0</v>
      </c>
      <c r="L137" s="13">
        <f t="shared" si="45"/>
        <v>0</v>
      </c>
      <c r="M137" s="13">
        <f t="shared" si="46"/>
        <v>0</v>
      </c>
      <c r="N137" s="13">
        <v>0.006</v>
      </c>
      <c r="O137" s="10" t="s">
        <v>851</v>
      </c>
      <c r="Z137" s="13">
        <f t="shared" si="47"/>
        <v>0</v>
      </c>
      <c r="AB137" s="13">
        <f t="shared" si="48"/>
        <v>0</v>
      </c>
      <c r="AC137" s="13">
        <f t="shared" si="49"/>
        <v>0</v>
      </c>
      <c r="AD137" s="13">
        <f t="shared" si="50"/>
        <v>0</v>
      </c>
      <c r="AE137" s="13">
        <f t="shared" si="51"/>
        <v>0</v>
      </c>
      <c r="AF137" s="13">
        <f t="shared" si="52"/>
        <v>0</v>
      </c>
      <c r="AG137" s="13">
        <f t="shared" si="53"/>
        <v>0</v>
      </c>
      <c r="AH137" s="13">
        <f t="shared" si="54"/>
        <v>0</v>
      </c>
      <c r="AI137" s="21" t="s">
        <v>103</v>
      </c>
      <c r="AJ137" s="13">
        <f t="shared" si="55"/>
        <v>0</v>
      </c>
      <c r="AK137" s="13">
        <f t="shared" si="56"/>
        <v>0</v>
      </c>
      <c r="AL137" s="13">
        <f t="shared" si="57"/>
        <v>0</v>
      </c>
      <c r="AN137" s="13">
        <v>21</v>
      </c>
      <c r="AO137" s="13">
        <f>J137*1</f>
        <v>0</v>
      </c>
      <c r="AP137" s="13">
        <f>J137*(1-1)</f>
        <v>0</v>
      </c>
      <c r="AQ137" s="32" t="s">
        <v>1231</v>
      </c>
      <c r="AV137" s="13">
        <f t="shared" si="58"/>
        <v>0</v>
      </c>
      <c r="AW137" s="13">
        <f t="shared" si="59"/>
        <v>0</v>
      </c>
      <c r="AX137" s="13">
        <f t="shared" si="60"/>
        <v>0</v>
      </c>
      <c r="AY137" s="32" t="s">
        <v>81</v>
      </c>
      <c r="AZ137" s="32" t="s">
        <v>440</v>
      </c>
      <c r="BA137" s="21" t="s">
        <v>854</v>
      </c>
      <c r="BC137" s="13">
        <f t="shared" si="61"/>
        <v>0</v>
      </c>
      <c r="BD137" s="13">
        <f t="shared" si="62"/>
        <v>0</v>
      </c>
      <c r="BE137" s="13">
        <v>0</v>
      </c>
      <c r="BF137" s="13">
        <f>137</f>
        <v>137</v>
      </c>
      <c r="BH137" s="13">
        <f t="shared" si="63"/>
        <v>0</v>
      </c>
      <c r="BI137" s="13">
        <f t="shared" si="64"/>
        <v>0</v>
      </c>
      <c r="BJ137" s="13">
        <f t="shared" si="65"/>
        <v>0</v>
      </c>
      <c r="BK137" s="13"/>
      <c r="BL137" s="13">
        <v>87</v>
      </c>
    </row>
    <row r="138" spans="1:64" ht="15" customHeight="1">
      <c r="A138" s="11" t="s">
        <v>812</v>
      </c>
      <c r="B138" s="48" t="s">
        <v>103</v>
      </c>
      <c r="C138" s="48" t="s">
        <v>1275</v>
      </c>
      <c r="D138" s="61" t="s">
        <v>617</v>
      </c>
      <c r="E138" s="61"/>
      <c r="F138" s="61"/>
      <c r="G138" s="61"/>
      <c r="H138" s="48" t="s">
        <v>299</v>
      </c>
      <c r="I138" s="13">
        <v>66</v>
      </c>
      <c r="J138" s="13">
        <v>0</v>
      </c>
      <c r="K138" s="13">
        <f t="shared" si="44"/>
        <v>0</v>
      </c>
      <c r="L138" s="13">
        <f t="shared" si="45"/>
        <v>0</v>
      </c>
      <c r="M138" s="13">
        <f t="shared" si="46"/>
        <v>0</v>
      </c>
      <c r="N138" s="13">
        <v>7E-05</v>
      </c>
      <c r="O138" s="10" t="s">
        <v>851</v>
      </c>
      <c r="Z138" s="13">
        <f t="shared" si="47"/>
        <v>0</v>
      </c>
      <c r="AB138" s="13">
        <f t="shared" si="48"/>
        <v>0</v>
      </c>
      <c r="AC138" s="13">
        <f t="shared" si="49"/>
        <v>0</v>
      </c>
      <c r="AD138" s="13">
        <f t="shared" si="50"/>
        <v>0</v>
      </c>
      <c r="AE138" s="13">
        <f t="shared" si="51"/>
        <v>0</v>
      </c>
      <c r="AF138" s="13">
        <f t="shared" si="52"/>
        <v>0</v>
      </c>
      <c r="AG138" s="13">
        <f t="shared" si="53"/>
        <v>0</v>
      </c>
      <c r="AH138" s="13">
        <f t="shared" si="54"/>
        <v>0</v>
      </c>
      <c r="AI138" s="21" t="s">
        <v>103</v>
      </c>
      <c r="AJ138" s="13">
        <f t="shared" si="55"/>
        <v>0</v>
      </c>
      <c r="AK138" s="13">
        <f t="shared" si="56"/>
        <v>0</v>
      </c>
      <c r="AL138" s="13">
        <f t="shared" si="57"/>
        <v>0</v>
      </c>
      <c r="AN138" s="13">
        <v>21</v>
      </c>
      <c r="AO138" s="13">
        <f>J138*0.00921843687374749</f>
        <v>0</v>
      </c>
      <c r="AP138" s="13">
        <f>J138*(1-0.00921843687374749)</f>
        <v>0</v>
      </c>
      <c r="AQ138" s="32" t="s">
        <v>1231</v>
      </c>
      <c r="AV138" s="13">
        <f t="shared" si="58"/>
        <v>0</v>
      </c>
      <c r="AW138" s="13">
        <f t="shared" si="59"/>
        <v>0</v>
      </c>
      <c r="AX138" s="13">
        <f t="shared" si="60"/>
        <v>0</v>
      </c>
      <c r="AY138" s="32" t="s">
        <v>81</v>
      </c>
      <c r="AZ138" s="32" t="s">
        <v>440</v>
      </c>
      <c r="BA138" s="21" t="s">
        <v>854</v>
      </c>
      <c r="BC138" s="13">
        <f t="shared" si="61"/>
        <v>0</v>
      </c>
      <c r="BD138" s="13">
        <f t="shared" si="62"/>
        <v>0</v>
      </c>
      <c r="BE138" s="13">
        <v>0</v>
      </c>
      <c r="BF138" s="13">
        <f>138</f>
        <v>138</v>
      </c>
      <c r="BH138" s="13">
        <f t="shared" si="63"/>
        <v>0</v>
      </c>
      <c r="BI138" s="13">
        <f t="shared" si="64"/>
        <v>0</v>
      </c>
      <c r="BJ138" s="13">
        <f t="shared" si="65"/>
        <v>0</v>
      </c>
      <c r="BK138" s="13"/>
      <c r="BL138" s="13">
        <v>87</v>
      </c>
    </row>
    <row r="139" spans="1:64" ht="15" customHeight="1">
      <c r="A139" s="11" t="s">
        <v>57</v>
      </c>
      <c r="B139" s="48" t="s">
        <v>103</v>
      </c>
      <c r="C139" s="48" t="s">
        <v>749</v>
      </c>
      <c r="D139" s="61" t="s">
        <v>800</v>
      </c>
      <c r="E139" s="61"/>
      <c r="F139" s="61"/>
      <c r="G139" s="61"/>
      <c r="H139" s="48" t="s">
        <v>299</v>
      </c>
      <c r="I139" s="13">
        <v>66</v>
      </c>
      <c r="J139" s="13">
        <v>0</v>
      </c>
      <c r="K139" s="13">
        <f t="shared" si="44"/>
        <v>0</v>
      </c>
      <c r="L139" s="13">
        <f t="shared" si="45"/>
        <v>0</v>
      </c>
      <c r="M139" s="13">
        <f t="shared" si="46"/>
        <v>0</v>
      </c>
      <c r="N139" s="13">
        <v>0.00224</v>
      </c>
      <c r="O139" s="10" t="s">
        <v>851</v>
      </c>
      <c r="Z139" s="13">
        <f t="shared" si="47"/>
        <v>0</v>
      </c>
      <c r="AB139" s="13">
        <f t="shared" si="48"/>
        <v>0</v>
      </c>
      <c r="AC139" s="13">
        <f t="shared" si="49"/>
        <v>0</v>
      </c>
      <c r="AD139" s="13">
        <f t="shared" si="50"/>
        <v>0</v>
      </c>
      <c r="AE139" s="13">
        <f t="shared" si="51"/>
        <v>0</v>
      </c>
      <c r="AF139" s="13">
        <f t="shared" si="52"/>
        <v>0</v>
      </c>
      <c r="AG139" s="13">
        <f t="shared" si="53"/>
        <v>0</v>
      </c>
      <c r="AH139" s="13">
        <f t="shared" si="54"/>
        <v>0</v>
      </c>
      <c r="AI139" s="21" t="s">
        <v>103</v>
      </c>
      <c r="AJ139" s="13">
        <f t="shared" si="55"/>
        <v>0</v>
      </c>
      <c r="AK139" s="13">
        <f t="shared" si="56"/>
        <v>0</v>
      </c>
      <c r="AL139" s="13">
        <f t="shared" si="57"/>
        <v>0</v>
      </c>
      <c r="AN139" s="13">
        <v>21</v>
      </c>
      <c r="AO139" s="13">
        <f>J139*1</f>
        <v>0</v>
      </c>
      <c r="AP139" s="13">
        <f>J139*(1-1)</f>
        <v>0</v>
      </c>
      <c r="AQ139" s="32" t="s">
        <v>1231</v>
      </c>
      <c r="AV139" s="13">
        <f t="shared" si="58"/>
        <v>0</v>
      </c>
      <c r="AW139" s="13">
        <f t="shared" si="59"/>
        <v>0</v>
      </c>
      <c r="AX139" s="13">
        <f t="shared" si="60"/>
        <v>0</v>
      </c>
      <c r="AY139" s="32" t="s">
        <v>81</v>
      </c>
      <c r="AZ139" s="32" t="s">
        <v>440</v>
      </c>
      <c r="BA139" s="21" t="s">
        <v>854</v>
      </c>
      <c r="BC139" s="13">
        <f t="shared" si="61"/>
        <v>0</v>
      </c>
      <c r="BD139" s="13">
        <f t="shared" si="62"/>
        <v>0</v>
      </c>
      <c r="BE139" s="13">
        <v>0</v>
      </c>
      <c r="BF139" s="13">
        <f>139</f>
        <v>139</v>
      </c>
      <c r="BH139" s="13">
        <f t="shared" si="63"/>
        <v>0</v>
      </c>
      <c r="BI139" s="13">
        <f t="shared" si="64"/>
        <v>0</v>
      </c>
      <c r="BJ139" s="13">
        <f t="shared" si="65"/>
        <v>0</v>
      </c>
      <c r="BK139" s="13"/>
      <c r="BL139" s="13">
        <v>87</v>
      </c>
    </row>
    <row r="140" spans="1:64" ht="15" customHeight="1">
      <c r="A140" s="11" t="s">
        <v>1322</v>
      </c>
      <c r="B140" s="48" t="s">
        <v>103</v>
      </c>
      <c r="C140" s="48" t="s">
        <v>137</v>
      </c>
      <c r="D140" s="61" t="s">
        <v>1202</v>
      </c>
      <c r="E140" s="61"/>
      <c r="F140" s="61"/>
      <c r="G140" s="61"/>
      <c r="H140" s="48" t="s">
        <v>1018</v>
      </c>
      <c r="I140" s="13">
        <v>442.6</v>
      </c>
      <c r="J140" s="13">
        <v>0</v>
      </c>
      <c r="K140" s="13">
        <f t="shared" si="44"/>
        <v>0</v>
      </c>
      <c r="L140" s="13">
        <f t="shared" si="45"/>
        <v>0</v>
      </c>
      <c r="M140" s="13">
        <f t="shared" si="46"/>
        <v>0</v>
      </c>
      <c r="N140" s="13">
        <v>0</v>
      </c>
      <c r="O140" s="10" t="s">
        <v>851</v>
      </c>
      <c r="Z140" s="13">
        <f t="shared" si="47"/>
        <v>0</v>
      </c>
      <c r="AB140" s="13">
        <f t="shared" si="48"/>
        <v>0</v>
      </c>
      <c r="AC140" s="13">
        <f t="shared" si="49"/>
        <v>0</v>
      </c>
      <c r="AD140" s="13">
        <f t="shared" si="50"/>
        <v>0</v>
      </c>
      <c r="AE140" s="13">
        <f t="shared" si="51"/>
        <v>0</v>
      </c>
      <c r="AF140" s="13">
        <f t="shared" si="52"/>
        <v>0</v>
      </c>
      <c r="AG140" s="13">
        <f t="shared" si="53"/>
        <v>0</v>
      </c>
      <c r="AH140" s="13">
        <f t="shared" si="54"/>
        <v>0</v>
      </c>
      <c r="AI140" s="21" t="s">
        <v>103</v>
      </c>
      <c r="AJ140" s="13">
        <f t="shared" si="55"/>
        <v>0</v>
      </c>
      <c r="AK140" s="13">
        <f t="shared" si="56"/>
        <v>0</v>
      </c>
      <c r="AL140" s="13">
        <f t="shared" si="57"/>
        <v>0</v>
      </c>
      <c r="AN140" s="13">
        <v>21</v>
      </c>
      <c r="AO140" s="13">
        <f>J140*0.00459770114942529</f>
        <v>0</v>
      </c>
      <c r="AP140" s="13">
        <f>J140*(1-0.00459770114942529)</f>
        <v>0</v>
      </c>
      <c r="AQ140" s="32" t="s">
        <v>1231</v>
      </c>
      <c r="AV140" s="13">
        <f t="shared" si="58"/>
        <v>0</v>
      </c>
      <c r="AW140" s="13">
        <f t="shared" si="59"/>
        <v>0</v>
      </c>
      <c r="AX140" s="13">
        <f t="shared" si="60"/>
        <v>0</v>
      </c>
      <c r="AY140" s="32" t="s">
        <v>81</v>
      </c>
      <c r="AZ140" s="32" t="s">
        <v>440</v>
      </c>
      <c r="BA140" s="21" t="s">
        <v>854</v>
      </c>
      <c r="BC140" s="13">
        <f t="shared" si="61"/>
        <v>0</v>
      </c>
      <c r="BD140" s="13">
        <f t="shared" si="62"/>
        <v>0</v>
      </c>
      <c r="BE140" s="13">
        <v>0</v>
      </c>
      <c r="BF140" s="13">
        <f>140</f>
        <v>140</v>
      </c>
      <c r="BH140" s="13">
        <f t="shared" si="63"/>
        <v>0</v>
      </c>
      <c r="BI140" s="13">
        <f t="shared" si="64"/>
        <v>0</v>
      </c>
      <c r="BJ140" s="13">
        <f t="shared" si="65"/>
        <v>0</v>
      </c>
      <c r="BK140" s="13"/>
      <c r="BL140" s="13">
        <v>87</v>
      </c>
    </row>
    <row r="141" spans="1:64" ht="15" customHeight="1">
      <c r="A141" s="11" t="s">
        <v>1308</v>
      </c>
      <c r="B141" s="48" t="s">
        <v>103</v>
      </c>
      <c r="C141" s="48" t="s">
        <v>1105</v>
      </c>
      <c r="D141" s="61" t="s">
        <v>1286</v>
      </c>
      <c r="E141" s="61"/>
      <c r="F141" s="61"/>
      <c r="G141" s="61"/>
      <c r="H141" s="48" t="s">
        <v>299</v>
      </c>
      <c r="I141" s="13">
        <v>155</v>
      </c>
      <c r="J141" s="13">
        <v>0</v>
      </c>
      <c r="K141" s="13">
        <f t="shared" si="44"/>
        <v>0</v>
      </c>
      <c r="L141" s="13">
        <f t="shared" si="45"/>
        <v>0</v>
      </c>
      <c r="M141" s="13">
        <f t="shared" si="46"/>
        <v>0</v>
      </c>
      <c r="N141" s="13">
        <v>0.0088</v>
      </c>
      <c r="O141" s="10" t="s">
        <v>851</v>
      </c>
      <c r="Z141" s="13">
        <f t="shared" si="47"/>
        <v>0</v>
      </c>
      <c r="AB141" s="13">
        <f t="shared" si="48"/>
        <v>0</v>
      </c>
      <c r="AC141" s="13">
        <f t="shared" si="49"/>
        <v>0</v>
      </c>
      <c r="AD141" s="13">
        <f t="shared" si="50"/>
        <v>0</v>
      </c>
      <c r="AE141" s="13">
        <f t="shared" si="51"/>
        <v>0</v>
      </c>
      <c r="AF141" s="13">
        <f t="shared" si="52"/>
        <v>0</v>
      </c>
      <c r="AG141" s="13">
        <f t="shared" si="53"/>
        <v>0</v>
      </c>
      <c r="AH141" s="13">
        <f t="shared" si="54"/>
        <v>0</v>
      </c>
      <c r="AI141" s="21" t="s">
        <v>103</v>
      </c>
      <c r="AJ141" s="13">
        <f t="shared" si="55"/>
        <v>0</v>
      </c>
      <c r="AK141" s="13">
        <f t="shared" si="56"/>
        <v>0</v>
      </c>
      <c r="AL141" s="13">
        <f t="shared" si="57"/>
        <v>0</v>
      </c>
      <c r="AN141" s="13">
        <v>21</v>
      </c>
      <c r="AO141" s="13">
        <f>J141*1</f>
        <v>0</v>
      </c>
      <c r="AP141" s="13">
        <f>J141*(1-1)</f>
        <v>0</v>
      </c>
      <c r="AQ141" s="32" t="s">
        <v>1231</v>
      </c>
      <c r="AV141" s="13">
        <f t="shared" si="58"/>
        <v>0</v>
      </c>
      <c r="AW141" s="13">
        <f t="shared" si="59"/>
        <v>0</v>
      </c>
      <c r="AX141" s="13">
        <f t="shared" si="60"/>
        <v>0</v>
      </c>
      <c r="AY141" s="32" t="s">
        <v>81</v>
      </c>
      <c r="AZ141" s="32" t="s">
        <v>440</v>
      </c>
      <c r="BA141" s="21" t="s">
        <v>854</v>
      </c>
      <c r="BC141" s="13">
        <f t="shared" si="61"/>
        <v>0</v>
      </c>
      <c r="BD141" s="13">
        <f t="shared" si="62"/>
        <v>0</v>
      </c>
      <c r="BE141" s="13">
        <v>0</v>
      </c>
      <c r="BF141" s="13">
        <f>141</f>
        <v>141</v>
      </c>
      <c r="BH141" s="13">
        <f t="shared" si="63"/>
        <v>0</v>
      </c>
      <c r="BI141" s="13">
        <f t="shared" si="64"/>
        <v>0</v>
      </c>
      <c r="BJ141" s="13">
        <f t="shared" si="65"/>
        <v>0</v>
      </c>
      <c r="BK141" s="13"/>
      <c r="BL141" s="13">
        <v>87</v>
      </c>
    </row>
    <row r="142" spans="1:47" ht="15" customHeight="1">
      <c r="A142" s="30" t="s">
        <v>862</v>
      </c>
      <c r="B142" s="18" t="s">
        <v>103</v>
      </c>
      <c r="C142" s="18" t="s">
        <v>1308</v>
      </c>
      <c r="D142" s="73" t="s">
        <v>805</v>
      </c>
      <c r="E142" s="73"/>
      <c r="F142" s="73"/>
      <c r="G142" s="73"/>
      <c r="H142" s="15" t="s">
        <v>1148</v>
      </c>
      <c r="I142" s="15" t="s">
        <v>1148</v>
      </c>
      <c r="J142" s="15" t="s">
        <v>1148</v>
      </c>
      <c r="K142" s="56">
        <f>SUM(K143:K177)</f>
        <v>0</v>
      </c>
      <c r="L142" s="56">
        <f>SUM(L143:L177)</f>
        <v>0</v>
      </c>
      <c r="M142" s="56">
        <f>SUM(M143:M177)</f>
        <v>0</v>
      </c>
      <c r="N142" s="21" t="s">
        <v>862</v>
      </c>
      <c r="O142" s="47" t="s">
        <v>862</v>
      </c>
      <c r="AI142" s="21" t="s">
        <v>103</v>
      </c>
      <c r="AS142" s="56">
        <f>SUM(AJ143:AJ177)</f>
        <v>0</v>
      </c>
      <c r="AT142" s="56">
        <f>SUM(AK143:AK177)</f>
        <v>0</v>
      </c>
      <c r="AU142" s="56">
        <f>SUM(AL143:AL177)</f>
        <v>0</v>
      </c>
    </row>
    <row r="143" spans="1:64" ht="15" customHeight="1">
      <c r="A143" s="11" t="s">
        <v>1302</v>
      </c>
      <c r="B143" s="48" t="s">
        <v>103</v>
      </c>
      <c r="C143" s="48" t="s">
        <v>307</v>
      </c>
      <c r="D143" s="61" t="s">
        <v>302</v>
      </c>
      <c r="E143" s="61"/>
      <c r="F143" s="61"/>
      <c r="G143" s="61"/>
      <c r="H143" s="48" t="s">
        <v>1018</v>
      </c>
      <c r="I143" s="13">
        <v>460.5</v>
      </c>
      <c r="J143" s="13">
        <v>0</v>
      </c>
      <c r="K143" s="13">
        <f aca="true" t="shared" si="66" ref="K143:K177">I143*AO143</f>
        <v>0</v>
      </c>
      <c r="L143" s="13">
        <f aca="true" t="shared" si="67" ref="L143:L177">I143*AP143</f>
        <v>0</v>
      </c>
      <c r="M143" s="13">
        <f aca="true" t="shared" si="68" ref="M143:M177">I143*J143</f>
        <v>0</v>
      </c>
      <c r="N143" s="13">
        <v>0</v>
      </c>
      <c r="O143" s="10" t="s">
        <v>851</v>
      </c>
      <c r="Z143" s="13">
        <f aca="true" t="shared" si="69" ref="Z143:Z177">IF(AQ143="5",BJ143,0)</f>
        <v>0</v>
      </c>
      <c r="AB143" s="13">
        <f aca="true" t="shared" si="70" ref="AB143:AB177">IF(AQ143="1",BH143,0)</f>
        <v>0</v>
      </c>
      <c r="AC143" s="13">
        <f aca="true" t="shared" si="71" ref="AC143:AC177">IF(AQ143="1",BI143,0)</f>
        <v>0</v>
      </c>
      <c r="AD143" s="13">
        <f aca="true" t="shared" si="72" ref="AD143:AD177">IF(AQ143="7",BH143,0)</f>
        <v>0</v>
      </c>
      <c r="AE143" s="13">
        <f aca="true" t="shared" si="73" ref="AE143:AE177">IF(AQ143="7",BI143,0)</f>
        <v>0</v>
      </c>
      <c r="AF143" s="13">
        <f aca="true" t="shared" si="74" ref="AF143:AF177">IF(AQ143="2",BH143,0)</f>
        <v>0</v>
      </c>
      <c r="AG143" s="13">
        <f aca="true" t="shared" si="75" ref="AG143:AG177">IF(AQ143="2",BI143,0)</f>
        <v>0</v>
      </c>
      <c r="AH143" s="13">
        <f aca="true" t="shared" si="76" ref="AH143:AH177">IF(AQ143="0",BJ143,0)</f>
        <v>0</v>
      </c>
      <c r="AI143" s="21" t="s">
        <v>103</v>
      </c>
      <c r="AJ143" s="13">
        <f aca="true" t="shared" si="77" ref="AJ143:AJ177">IF(AN143=0,M143,0)</f>
        <v>0</v>
      </c>
      <c r="AK143" s="13">
        <f aca="true" t="shared" si="78" ref="AK143:AK177">IF(AN143=15,M143,0)</f>
        <v>0</v>
      </c>
      <c r="AL143" s="13">
        <f aca="true" t="shared" si="79" ref="AL143:AL177">IF(AN143=21,M143,0)</f>
        <v>0</v>
      </c>
      <c r="AN143" s="13">
        <v>21</v>
      </c>
      <c r="AO143" s="13">
        <f>J143*0.0889830508474576</f>
        <v>0</v>
      </c>
      <c r="AP143" s="13">
        <f>J143*(1-0.0889830508474576)</f>
        <v>0</v>
      </c>
      <c r="AQ143" s="32" t="s">
        <v>1231</v>
      </c>
      <c r="AV143" s="13">
        <f aca="true" t="shared" si="80" ref="AV143:AV177">AW143+AX143</f>
        <v>0</v>
      </c>
      <c r="AW143" s="13">
        <f aca="true" t="shared" si="81" ref="AW143:AW177">I143*AO143</f>
        <v>0</v>
      </c>
      <c r="AX143" s="13">
        <f aca="true" t="shared" si="82" ref="AX143:AX177">I143*AP143</f>
        <v>0</v>
      </c>
      <c r="AY143" s="32" t="s">
        <v>98</v>
      </c>
      <c r="AZ143" s="32" t="s">
        <v>440</v>
      </c>
      <c r="BA143" s="21" t="s">
        <v>854</v>
      </c>
      <c r="BC143" s="13">
        <f aca="true" t="shared" si="83" ref="BC143:BC177">AW143+AX143</f>
        <v>0</v>
      </c>
      <c r="BD143" s="13">
        <f aca="true" t="shared" si="84" ref="BD143:BD177">J143/(100-BE143)*100</f>
        <v>0</v>
      </c>
      <c r="BE143" s="13">
        <v>0</v>
      </c>
      <c r="BF143" s="13">
        <f>143</f>
        <v>143</v>
      </c>
      <c r="BH143" s="13">
        <f aca="true" t="shared" si="85" ref="BH143:BH177">I143*AO143</f>
        <v>0</v>
      </c>
      <c r="BI143" s="13">
        <f aca="true" t="shared" si="86" ref="BI143:BI177">I143*AP143</f>
        <v>0</v>
      </c>
      <c r="BJ143" s="13">
        <f aca="true" t="shared" si="87" ref="BJ143:BJ177">I143*J143</f>
        <v>0</v>
      </c>
      <c r="BK143" s="13"/>
      <c r="BL143" s="13">
        <v>89</v>
      </c>
    </row>
    <row r="144" spans="1:64" ht="15" customHeight="1">
      <c r="A144" s="11" t="s">
        <v>55</v>
      </c>
      <c r="B144" s="48" t="s">
        <v>103</v>
      </c>
      <c r="C144" s="48" t="s">
        <v>636</v>
      </c>
      <c r="D144" s="61" t="s">
        <v>130</v>
      </c>
      <c r="E144" s="61"/>
      <c r="F144" s="61"/>
      <c r="G144" s="61"/>
      <c r="H144" s="48" t="s">
        <v>1325</v>
      </c>
      <c r="I144" s="13">
        <v>13</v>
      </c>
      <c r="J144" s="13">
        <v>0</v>
      </c>
      <c r="K144" s="13">
        <f t="shared" si="66"/>
        <v>0</v>
      </c>
      <c r="L144" s="13">
        <f t="shared" si="67"/>
        <v>0</v>
      </c>
      <c r="M144" s="13">
        <f t="shared" si="68"/>
        <v>0</v>
      </c>
      <c r="N144" s="13">
        <v>0.00017</v>
      </c>
      <c r="O144" s="10" t="s">
        <v>851</v>
      </c>
      <c r="Z144" s="13">
        <f t="shared" si="69"/>
        <v>0</v>
      </c>
      <c r="AB144" s="13">
        <f t="shared" si="70"/>
        <v>0</v>
      </c>
      <c r="AC144" s="13">
        <f t="shared" si="71"/>
        <v>0</v>
      </c>
      <c r="AD144" s="13">
        <f t="shared" si="72"/>
        <v>0</v>
      </c>
      <c r="AE144" s="13">
        <f t="shared" si="73"/>
        <v>0</v>
      </c>
      <c r="AF144" s="13">
        <f t="shared" si="74"/>
        <v>0</v>
      </c>
      <c r="AG144" s="13">
        <f t="shared" si="75"/>
        <v>0</v>
      </c>
      <c r="AH144" s="13">
        <f t="shared" si="76"/>
        <v>0</v>
      </c>
      <c r="AI144" s="21" t="s">
        <v>103</v>
      </c>
      <c r="AJ144" s="13">
        <f t="shared" si="77"/>
        <v>0</v>
      </c>
      <c r="AK144" s="13">
        <f t="shared" si="78"/>
        <v>0</v>
      </c>
      <c r="AL144" s="13">
        <f t="shared" si="79"/>
        <v>0</v>
      </c>
      <c r="AN144" s="13">
        <v>21</v>
      </c>
      <c r="AO144" s="13">
        <f>J144*0.100544186046512</f>
        <v>0</v>
      </c>
      <c r="AP144" s="13">
        <f>J144*(1-0.100544186046512)</f>
        <v>0</v>
      </c>
      <c r="AQ144" s="32" t="s">
        <v>1231</v>
      </c>
      <c r="AV144" s="13">
        <f t="shared" si="80"/>
        <v>0</v>
      </c>
      <c r="AW144" s="13">
        <f t="shared" si="81"/>
        <v>0</v>
      </c>
      <c r="AX144" s="13">
        <f t="shared" si="82"/>
        <v>0</v>
      </c>
      <c r="AY144" s="32" t="s">
        <v>98</v>
      </c>
      <c r="AZ144" s="32" t="s">
        <v>440</v>
      </c>
      <c r="BA144" s="21" t="s">
        <v>854</v>
      </c>
      <c r="BC144" s="13">
        <f t="shared" si="83"/>
        <v>0</v>
      </c>
      <c r="BD144" s="13">
        <f t="shared" si="84"/>
        <v>0</v>
      </c>
      <c r="BE144" s="13">
        <v>0</v>
      </c>
      <c r="BF144" s="13">
        <f>144</f>
        <v>144</v>
      </c>
      <c r="BH144" s="13">
        <f t="shared" si="85"/>
        <v>0</v>
      </c>
      <c r="BI144" s="13">
        <f t="shared" si="86"/>
        <v>0</v>
      </c>
      <c r="BJ144" s="13">
        <f t="shared" si="87"/>
        <v>0</v>
      </c>
      <c r="BK144" s="13"/>
      <c r="BL144" s="13">
        <v>89</v>
      </c>
    </row>
    <row r="145" spans="1:64" ht="15" customHeight="1">
      <c r="A145" s="11" t="s">
        <v>4</v>
      </c>
      <c r="B145" s="48" t="s">
        <v>103</v>
      </c>
      <c r="C145" s="48" t="s">
        <v>656</v>
      </c>
      <c r="D145" s="61" t="s">
        <v>325</v>
      </c>
      <c r="E145" s="61"/>
      <c r="F145" s="61"/>
      <c r="G145" s="61"/>
      <c r="H145" s="48" t="s">
        <v>241</v>
      </c>
      <c r="I145" s="13">
        <v>66</v>
      </c>
      <c r="J145" s="13">
        <v>0</v>
      </c>
      <c r="K145" s="13">
        <f t="shared" si="66"/>
        <v>0</v>
      </c>
      <c r="L145" s="13">
        <f t="shared" si="67"/>
        <v>0</v>
      </c>
      <c r="M145" s="13">
        <f t="shared" si="68"/>
        <v>0</v>
      </c>
      <c r="N145" s="13">
        <v>2E-05</v>
      </c>
      <c r="O145" s="10" t="s">
        <v>851</v>
      </c>
      <c r="Z145" s="13">
        <f t="shared" si="69"/>
        <v>0</v>
      </c>
      <c r="AB145" s="13">
        <f t="shared" si="70"/>
        <v>0</v>
      </c>
      <c r="AC145" s="13">
        <f t="shared" si="71"/>
        <v>0</v>
      </c>
      <c r="AD145" s="13">
        <f t="shared" si="72"/>
        <v>0</v>
      </c>
      <c r="AE145" s="13">
        <f t="shared" si="73"/>
        <v>0</v>
      </c>
      <c r="AF145" s="13">
        <f t="shared" si="74"/>
        <v>0</v>
      </c>
      <c r="AG145" s="13">
        <f t="shared" si="75"/>
        <v>0</v>
      </c>
      <c r="AH145" s="13">
        <f t="shared" si="76"/>
        <v>0</v>
      </c>
      <c r="AI145" s="21" t="s">
        <v>103</v>
      </c>
      <c r="AJ145" s="13">
        <f t="shared" si="77"/>
        <v>0</v>
      </c>
      <c r="AK145" s="13">
        <f t="shared" si="78"/>
        <v>0</v>
      </c>
      <c r="AL145" s="13">
        <f t="shared" si="79"/>
        <v>0</v>
      </c>
      <c r="AN145" s="13">
        <v>21</v>
      </c>
      <c r="AO145" s="13">
        <f>J145*0.33300395256917</f>
        <v>0</v>
      </c>
      <c r="AP145" s="13">
        <f>J145*(1-0.33300395256917)</f>
        <v>0</v>
      </c>
      <c r="AQ145" s="32" t="s">
        <v>1231</v>
      </c>
      <c r="AV145" s="13">
        <f t="shared" si="80"/>
        <v>0</v>
      </c>
      <c r="AW145" s="13">
        <f t="shared" si="81"/>
        <v>0</v>
      </c>
      <c r="AX145" s="13">
        <f t="shared" si="82"/>
        <v>0</v>
      </c>
      <c r="AY145" s="32" t="s">
        <v>98</v>
      </c>
      <c r="AZ145" s="32" t="s">
        <v>440</v>
      </c>
      <c r="BA145" s="21" t="s">
        <v>854</v>
      </c>
      <c r="BC145" s="13">
        <f t="shared" si="83"/>
        <v>0</v>
      </c>
      <c r="BD145" s="13">
        <f t="shared" si="84"/>
        <v>0</v>
      </c>
      <c r="BE145" s="13">
        <v>0</v>
      </c>
      <c r="BF145" s="13">
        <f>145</f>
        <v>145</v>
      </c>
      <c r="BH145" s="13">
        <f t="shared" si="85"/>
        <v>0</v>
      </c>
      <c r="BI145" s="13">
        <f t="shared" si="86"/>
        <v>0</v>
      </c>
      <c r="BJ145" s="13">
        <f t="shared" si="87"/>
        <v>0</v>
      </c>
      <c r="BK145" s="13"/>
      <c r="BL145" s="13">
        <v>89</v>
      </c>
    </row>
    <row r="146" spans="1:64" ht="15" customHeight="1">
      <c r="A146" s="11" t="s">
        <v>1127</v>
      </c>
      <c r="B146" s="48" t="s">
        <v>103</v>
      </c>
      <c r="C146" s="48" t="s">
        <v>178</v>
      </c>
      <c r="D146" s="61" t="s">
        <v>453</v>
      </c>
      <c r="E146" s="61"/>
      <c r="F146" s="61"/>
      <c r="G146" s="61"/>
      <c r="H146" s="48" t="s">
        <v>1018</v>
      </c>
      <c r="I146" s="13">
        <v>1013.1</v>
      </c>
      <c r="J146" s="13">
        <v>0</v>
      </c>
      <c r="K146" s="13">
        <f t="shared" si="66"/>
        <v>0</v>
      </c>
      <c r="L146" s="13">
        <f t="shared" si="67"/>
        <v>0</v>
      </c>
      <c r="M146" s="13">
        <f t="shared" si="68"/>
        <v>0</v>
      </c>
      <c r="N146" s="13">
        <v>0</v>
      </c>
      <c r="O146" s="10" t="s">
        <v>851</v>
      </c>
      <c r="Z146" s="13">
        <f t="shared" si="69"/>
        <v>0</v>
      </c>
      <c r="AB146" s="13">
        <f t="shared" si="70"/>
        <v>0</v>
      </c>
      <c r="AC146" s="13">
        <f t="shared" si="71"/>
        <v>0</v>
      </c>
      <c r="AD146" s="13">
        <f t="shared" si="72"/>
        <v>0</v>
      </c>
      <c r="AE146" s="13">
        <f t="shared" si="73"/>
        <v>0</v>
      </c>
      <c r="AF146" s="13">
        <f t="shared" si="74"/>
        <v>0</v>
      </c>
      <c r="AG146" s="13">
        <f t="shared" si="75"/>
        <v>0</v>
      </c>
      <c r="AH146" s="13">
        <f t="shared" si="76"/>
        <v>0</v>
      </c>
      <c r="AI146" s="21" t="s">
        <v>103</v>
      </c>
      <c r="AJ146" s="13">
        <f t="shared" si="77"/>
        <v>0</v>
      </c>
      <c r="AK146" s="13">
        <f t="shared" si="78"/>
        <v>0</v>
      </c>
      <c r="AL146" s="13">
        <f t="shared" si="79"/>
        <v>0</v>
      </c>
      <c r="AN146" s="13">
        <v>21</v>
      </c>
      <c r="AO146" s="13">
        <f>J146*0.322424242424242</f>
        <v>0</v>
      </c>
      <c r="AP146" s="13">
        <f>J146*(1-0.322424242424242)</f>
        <v>0</v>
      </c>
      <c r="AQ146" s="32" t="s">
        <v>1231</v>
      </c>
      <c r="AV146" s="13">
        <f t="shared" si="80"/>
        <v>0</v>
      </c>
      <c r="AW146" s="13">
        <f t="shared" si="81"/>
        <v>0</v>
      </c>
      <c r="AX146" s="13">
        <f t="shared" si="82"/>
        <v>0</v>
      </c>
      <c r="AY146" s="32" t="s">
        <v>98</v>
      </c>
      <c r="AZ146" s="32" t="s">
        <v>440</v>
      </c>
      <c r="BA146" s="21" t="s">
        <v>854</v>
      </c>
      <c r="BC146" s="13">
        <f t="shared" si="83"/>
        <v>0</v>
      </c>
      <c r="BD146" s="13">
        <f t="shared" si="84"/>
        <v>0</v>
      </c>
      <c r="BE146" s="13">
        <v>0</v>
      </c>
      <c r="BF146" s="13">
        <f>146</f>
        <v>146</v>
      </c>
      <c r="BH146" s="13">
        <f t="shared" si="85"/>
        <v>0</v>
      </c>
      <c r="BI146" s="13">
        <f t="shared" si="86"/>
        <v>0</v>
      </c>
      <c r="BJ146" s="13">
        <f t="shared" si="87"/>
        <v>0</v>
      </c>
      <c r="BK146" s="13"/>
      <c r="BL146" s="13">
        <v>89</v>
      </c>
    </row>
    <row r="147" spans="1:64" ht="15" customHeight="1">
      <c r="A147" s="11" t="s">
        <v>145</v>
      </c>
      <c r="B147" s="48" t="s">
        <v>103</v>
      </c>
      <c r="C147" s="48" t="s">
        <v>374</v>
      </c>
      <c r="D147" s="61" t="s">
        <v>310</v>
      </c>
      <c r="E147" s="61"/>
      <c r="F147" s="61"/>
      <c r="G147" s="61"/>
      <c r="H147" s="48" t="s">
        <v>1018</v>
      </c>
      <c r="I147" s="13">
        <v>460.5</v>
      </c>
      <c r="J147" s="13">
        <v>0</v>
      </c>
      <c r="K147" s="13">
        <f t="shared" si="66"/>
        <v>0</v>
      </c>
      <c r="L147" s="13">
        <f t="shared" si="67"/>
        <v>0</v>
      </c>
      <c r="M147" s="13">
        <f t="shared" si="68"/>
        <v>0</v>
      </c>
      <c r="N147" s="13">
        <v>0</v>
      </c>
      <c r="O147" s="10" t="s">
        <v>851</v>
      </c>
      <c r="Z147" s="13">
        <f t="shared" si="69"/>
        <v>0</v>
      </c>
      <c r="AB147" s="13">
        <f t="shared" si="70"/>
        <v>0</v>
      </c>
      <c r="AC147" s="13">
        <f t="shared" si="71"/>
        <v>0</v>
      </c>
      <c r="AD147" s="13">
        <f t="shared" si="72"/>
        <v>0</v>
      </c>
      <c r="AE147" s="13">
        <f t="shared" si="73"/>
        <v>0</v>
      </c>
      <c r="AF147" s="13">
        <f t="shared" si="74"/>
        <v>0</v>
      </c>
      <c r="AG147" s="13">
        <f t="shared" si="75"/>
        <v>0</v>
      </c>
      <c r="AH147" s="13">
        <f t="shared" si="76"/>
        <v>0</v>
      </c>
      <c r="AI147" s="21" t="s">
        <v>103</v>
      </c>
      <c r="AJ147" s="13">
        <f t="shared" si="77"/>
        <v>0</v>
      </c>
      <c r="AK147" s="13">
        <f t="shared" si="78"/>
        <v>0</v>
      </c>
      <c r="AL147" s="13">
        <f t="shared" si="79"/>
        <v>0</v>
      </c>
      <c r="AN147" s="13">
        <v>21</v>
      </c>
      <c r="AO147" s="13">
        <f>J147*0</f>
        <v>0</v>
      </c>
      <c r="AP147" s="13">
        <f>J147*(1-0)</f>
        <v>0</v>
      </c>
      <c r="AQ147" s="32" t="s">
        <v>1231</v>
      </c>
      <c r="AV147" s="13">
        <f t="shared" si="80"/>
        <v>0</v>
      </c>
      <c r="AW147" s="13">
        <f t="shared" si="81"/>
        <v>0</v>
      </c>
      <c r="AX147" s="13">
        <f t="shared" si="82"/>
        <v>0</v>
      </c>
      <c r="AY147" s="32" t="s">
        <v>98</v>
      </c>
      <c r="AZ147" s="32" t="s">
        <v>440</v>
      </c>
      <c r="BA147" s="21" t="s">
        <v>854</v>
      </c>
      <c r="BC147" s="13">
        <f t="shared" si="83"/>
        <v>0</v>
      </c>
      <c r="BD147" s="13">
        <f t="shared" si="84"/>
        <v>0</v>
      </c>
      <c r="BE147" s="13">
        <v>0</v>
      </c>
      <c r="BF147" s="13">
        <f>147</f>
        <v>147</v>
      </c>
      <c r="BH147" s="13">
        <f t="shared" si="85"/>
        <v>0</v>
      </c>
      <c r="BI147" s="13">
        <f t="shared" si="86"/>
        <v>0</v>
      </c>
      <c r="BJ147" s="13">
        <f t="shared" si="87"/>
        <v>0</v>
      </c>
      <c r="BK147" s="13"/>
      <c r="BL147" s="13">
        <v>89</v>
      </c>
    </row>
    <row r="148" spans="1:64" ht="15" customHeight="1">
      <c r="A148" s="11" t="s">
        <v>477</v>
      </c>
      <c r="B148" s="48" t="s">
        <v>103</v>
      </c>
      <c r="C148" s="48" t="s">
        <v>382</v>
      </c>
      <c r="D148" s="61" t="s">
        <v>1048</v>
      </c>
      <c r="E148" s="61"/>
      <c r="F148" s="61"/>
      <c r="G148" s="61"/>
      <c r="H148" s="48" t="s">
        <v>299</v>
      </c>
      <c r="I148" s="13">
        <v>16</v>
      </c>
      <c r="J148" s="13">
        <v>0</v>
      </c>
      <c r="K148" s="13">
        <f t="shared" si="66"/>
        <v>0</v>
      </c>
      <c r="L148" s="13">
        <f t="shared" si="67"/>
        <v>0</v>
      </c>
      <c r="M148" s="13">
        <f t="shared" si="68"/>
        <v>0</v>
      </c>
      <c r="N148" s="13">
        <v>0</v>
      </c>
      <c r="O148" s="10" t="s">
        <v>851</v>
      </c>
      <c r="Z148" s="13">
        <f t="shared" si="69"/>
        <v>0</v>
      </c>
      <c r="AB148" s="13">
        <f t="shared" si="70"/>
        <v>0</v>
      </c>
      <c r="AC148" s="13">
        <f t="shared" si="71"/>
        <v>0</v>
      </c>
      <c r="AD148" s="13">
        <f t="shared" si="72"/>
        <v>0</v>
      </c>
      <c r="AE148" s="13">
        <f t="shared" si="73"/>
        <v>0</v>
      </c>
      <c r="AF148" s="13">
        <f t="shared" si="74"/>
        <v>0</v>
      </c>
      <c r="AG148" s="13">
        <f t="shared" si="75"/>
        <v>0</v>
      </c>
      <c r="AH148" s="13">
        <f t="shared" si="76"/>
        <v>0</v>
      </c>
      <c r="AI148" s="21" t="s">
        <v>103</v>
      </c>
      <c r="AJ148" s="13">
        <f t="shared" si="77"/>
        <v>0</v>
      </c>
      <c r="AK148" s="13">
        <f t="shared" si="78"/>
        <v>0</v>
      </c>
      <c r="AL148" s="13">
        <f t="shared" si="79"/>
        <v>0</v>
      </c>
      <c r="AN148" s="13">
        <v>21</v>
      </c>
      <c r="AO148" s="13">
        <f>J148*0</f>
        <v>0</v>
      </c>
      <c r="AP148" s="13">
        <f>J148*(1-0)</f>
        <v>0</v>
      </c>
      <c r="AQ148" s="32" t="s">
        <v>1231</v>
      </c>
      <c r="AV148" s="13">
        <f t="shared" si="80"/>
        <v>0</v>
      </c>
      <c r="AW148" s="13">
        <f t="shared" si="81"/>
        <v>0</v>
      </c>
      <c r="AX148" s="13">
        <f t="shared" si="82"/>
        <v>0</v>
      </c>
      <c r="AY148" s="32" t="s">
        <v>98</v>
      </c>
      <c r="AZ148" s="32" t="s">
        <v>440</v>
      </c>
      <c r="BA148" s="21" t="s">
        <v>854</v>
      </c>
      <c r="BC148" s="13">
        <f t="shared" si="83"/>
        <v>0</v>
      </c>
      <c r="BD148" s="13">
        <f t="shared" si="84"/>
        <v>0</v>
      </c>
      <c r="BE148" s="13">
        <v>0</v>
      </c>
      <c r="BF148" s="13">
        <f>148</f>
        <v>148</v>
      </c>
      <c r="BH148" s="13">
        <f t="shared" si="85"/>
        <v>0</v>
      </c>
      <c r="BI148" s="13">
        <f t="shared" si="86"/>
        <v>0</v>
      </c>
      <c r="BJ148" s="13">
        <f t="shared" si="87"/>
        <v>0</v>
      </c>
      <c r="BK148" s="13"/>
      <c r="BL148" s="13">
        <v>89</v>
      </c>
    </row>
    <row r="149" spans="1:64" ht="15" customHeight="1">
      <c r="A149" s="11" t="s">
        <v>687</v>
      </c>
      <c r="B149" s="48" t="s">
        <v>103</v>
      </c>
      <c r="C149" s="48" t="s">
        <v>882</v>
      </c>
      <c r="D149" s="61" t="s">
        <v>1243</v>
      </c>
      <c r="E149" s="61"/>
      <c r="F149" s="61"/>
      <c r="G149" s="61"/>
      <c r="H149" s="48" t="s">
        <v>299</v>
      </c>
      <c r="I149" s="13">
        <v>15</v>
      </c>
      <c r="J149" s="13">
        <v>0</v>
      </c>
      <c r="K149" s="13">
        <f t="shared" si="66"/>
        <v>0</v>
      </c>
      <c r="L149" s="13">
        <f t="shared" si="67"/>
        <v>0</v>
      </c>
      <c r="M149" s="13">
        <f t="shared" si="68"/>
        <v>0</v>
      </c>
      <c r="N149" s="13">
        <v>1.6</v>
      </c>
      <c r="O149" s="10" t="s">
        <v>851</v>
      </c>
      <c r="Z149" s="13">
        <f t="shared" si="69"/>
        <v>0</v>
      </c>
      <c r="AB149" s="13">
        <f t="shared" si="70"/>
        <v>0</v>
      </c>
      <c r="AC149" s="13">
        <f t="shared" si="71"/>
        <v>0</v>
      </c>
      <c r="AD149" s="13">
        <f t="shared" si="72"/>
        <v>0</v>
      </c>
      <c r="AE149" s="13">
        <f t="shared" si="73"/>
        <v>0</v>
      </c>
      <c r="AF149" s="13">
        <f t="shared" si="74"/>
        <v>0</v>
      </c>
      <c r="AG149" s="13">
        <f t="shared" si="75"/>
        <v>0</v>
      </c>
      <c r="AH149" s="13">
        <f t="shared" si="76"/>
        <v>0</v>
      </c>
      <c r="AI149" s="21" t="s">
        <v>103</v>
      </c>
      <c r="AJ149" s="13">
        <f t="shared" si="77"/>
        <v>0</v>
      </c>
      <c r="AK149" s="13">
        <f t="shared" si="78"/>
        <v>0</v>
      </c>
      <c r="AL149" s="13">
        <f t="shared" si="79"/>
        <v>0</v>
      </c>
      <c r="AN149" s="13">
        <v>21</v>
      </c>
      <c r="AO149" s="13">
        <f>J149*1</f>
        <v>0</v>
      </c>
      <c r="AP149" s="13">
        <f>J149*(1-1)</f>
        <v>0</v>
      </c>
      <c r="AQ149" s="32" t="s">
        <v>1231</v>
      </c>
      <c r="AV149" s="13">
        <f t="shared" si="80"/>
        <v>0</v>
      </c>
      <c r="AW149" s="13">
        <f t="shared" si="81"/>
        <v>0</v>
      </c>
      <c r="AX149" s="13">
        <f t="shared" si="82"/>
        <v>0</v>
      </c>
      <c r="AY149" s="32" t="s">
        <v>98</v>
      </c>
      <c r="AZ149" s="32" t="s">
        <v>440</v>
      </c>
      <c r="BA149" s="21" t="s">
        <v>854</v>
      </c>
      <c r="BC149" s="13">
        <f t="shared" si="83"/>
        <v>0</v>
      </c>
      <c r="BD149" s="13">
        <f t="shared" si="84"/>
        <v>0</v>
      </c>
      <c r="BE149" s="13">
        <v>0</v>
      </c>
      <c r="BF149" s="13">
        <f>149</f>
        <v>149</v>
      </c>
      <c r="BH149" s="13">
        <f t="shared" si="85"/>
        <v>0</v>
      </c>
      <c r="BI149" s="13">
        <f t="shared" si="86"/>
        <v>0</v>
      </c>
      <c r="BJ149" s="13">
        <f t="shared" si="87"/>
        <v>0</v>
      </c>
      <c r="BK149" s="13"/>
      <c r="BL149" s="13">
        <v>89</v>
      </c>
    </row>
    <row r="150" spans="1:64" ht="15" customHeight="1">
      <c r="A150" s="11" t="s">
        <v>143</v>
      </c>
      <c r="B150" s="48" t="s">
        <v>103</v>
      </c>
      <c r="C150" s="48" t="s">
        <v>1049</v>
      </c>
      <c r="D150" s="61" t="s">
        <v>498</v>
      </c>
      <c r="E150" s="61"/>
      <c r="F150" s="61"/>
      <c r="G150" s="61"/>
      <c r="H150" s="48" t="s">
        <v>299</v>
      </c>
      <c r="I150" s="13">
        <v>42</v>
      </c>
      <c r="J150" s="13">
        <v>0</v>
      </c>
      <c r="K150" s="13">
        <f t="shared" si="66"/>
        <v>0</v>
      </c>
      <c r="L150" s="13">
        <f t="shared" si="67"/>
        <v>0</v>
      </c>
      <c r="M150" s="13">
        <f t="shared" si="68"/>
        <v>0</v>
      </c>
      <c r="N150" s="13">
        <v>0</v>
      </c>
      <c r="O150" s="10" t="s">
        <v>851</v>
      </c>
      <c r="Z150" s="13">
        <f t="shared" si="69"/>
        <v>0</v>
      </c>
      <c r="AB150" s="13">
        <f t="shared" si="70"/>
        <v>0</v>
      </c>
      <c r="AC150" s="13">
        <f t="shared" si="71"/>
        <v>0</v>
      </c>
      <c r="AD150" s="13">
        <f t="shared" si="72"/>
        <v>0</v>
      </c>
      <c r="AE150" s="13">
        <f t="shared" si="73"/>
        <v>0</v>
      </c>
      <c r="AF150" s="13">
        <f t="shared" si="74"/>
        <v>0</v>
      </c>
      <c r="AG150" s="13">
        <f t="shared" si="75"/>
        <v>0</v>
      </c>
      <c r="AH150" s="13">
        <f t="shared" si="76"/>
        <v>0</v>
      </c>
      <c r="AI150" s="21" t="s">
        <v>103</v>
      </c>
      <c r="AJ150" s="13">
        <f t="shared" si="77"/>
        <v>0</v>
      </c>
      <c r="AK150" s="13">
        <f t="shared" si="78"/>
        <v>0</v>
      </c>
      <c r="AL150" s="13">
        <f t="shared" si="79"/>
        <v>0</v>
      </c>
      <c r="AN150" s="13">
        <v>21</v>
      </c>
      <c r="AO150" s="13">
        <f>J150*0</f>
        <v>0</v>
      </c>
      <c r="AP150" s="13">
        <f>J150*(1-0)</f>
        <v>0</v>
      </c>
      <c r="AQ150" s="32" t="s">
        <v>1231</v>
      </c>
      <c r="AV150" s="13">
        <f t="shared" si="80"/>
        <v>0</v>
      </c>
      <c r="AW150" s="13">
        <f t="shared" si="81"/>
        <v>0</v>
      </c>
      <c r="AX150" s="13">
        <f t="shared" si="82"/>
        <v>0</v>
      </c>
      <c r="AY150" s="32" t="s">
        <v>98</v>
      </c>
      <c r="AZ150" s="32" t="s">
        <v>440</v>
      </c>
      <c r="BA150" s="21" t="s">
        <v>854</v>
      </c>
      <c r="BC150" s="13">
        <f t="shared" si="83"/>
        <v>0</v>
      </c>
      <c r="BD150" s="13">
        <f t="shared" si="84"/>
        <v>0</v>
      </c>
      <c r="BE150" s="13">
        <v>0</v>
      </c>
      <c r="BF150" s="13">
        <f>150</f>
        <v>150</v>
      </c>
      <c r="BH150" s="13">
        <f t="shared" si="85"/>
        <v>0</v>
      </c>
      <c r="BI150" s="13">
        <f t="shared" si="86"/>
        <v>0</v>
      </c>
      <c r="BJ150" s="13">
        <f t="shared" si="87"/>
        <v>0</v>
      </c>
      <c r="BK150" s="13"/>
      <c r="BL150" s="13">
        <v>89</v>
      </c>
    </row>
    <row r="151" spans="1:64" ht="15" customHeight="1">
      <c r="A151" s="11" t="s">
        <v>874</v>
      </c>
      <c r="B151" s="48" t="s">
        <v>103</v>
      </c>
      <c r="C151" s="48" t="s">
        <v>667</v>
      </c>
      <c r="D151" s="61" t="s">
        <v>1063</v>
      </c>
      <c r="E151" s="61"/>
      <c r="F151" s="61"/>
      <c r="G151" s="61"/>
      <c r="H151" s="48" t="s">
        <v>299</v>
      </c>
      <c r="I151" s="13">
        <v>4</v>
      </c>
      <c r="J151" s="13">
        <v>0</v>
      </c>
      <c r="K151" s="13">
        <f t="shared" si="66"/>
        <v>0</v>
      </c>
      <c r="L151" s="13">
        <f t="shared" si="67"/>
        <v>0</v>
      </c>
      <c r="M151" s="13">
        <f t="shared" si="68"/>
        <v>0</v>
      </c>
      <c r="N151" s="13">
        <v>0.028</v>
      </c>
      <c r="O151" s="10" t="s">
        <v>851</v>
      </c>
      <c r="Z151" s="13">
        <f t="shared" si="69"/>
        <v>0</v>
      </c>
      <c r="AB151" s="13">
        <f t="shared" si="70"/>
        <v>0</v>
      </c>
      <c r="AC151" s="13">
        <f t="shared" si="71"/>
        <v>0</v>
      </c>
      <c r="AD151" s="13">
        <f t="shared" si="72"/>
        <v>0</v>
      </c>
      <c r="AE151" s="13">
        <f t="shared" si="73"/>
        <v>0</v>
      </c>
      <c r="AF151" s="13">
        <f t="shared" si="74"/>
        <v>0</v>
      </c>
      <c r="AG151" s="13">
        <f t="shared" si="75"/>
        <v>0</v>
      </c>
      <c r="AH151" s="13">
        <f t="shared" si="76"/>
        <v>0</v>
      </c>
      <c r="AI151" s="21" t="s">
        <v>103</v>
      </c>
      <c r="AJ151" s="13">
        <f t="shared" si="77"/>
        <v>0</v>
      </c>
      <c r="AK151" s="13">
        <f t="shared" si="78"/>
        <v>0</v>
      </c>
      <c r="AL151" s="13">
        <f t="shared" si="79"/>
        <v>0</v>
      </c>
      <c r="AN151" s="13">
        <v>21</v>
      </c>
      <c r="AO151" s="13">
        <f aca="true" t="shared" si="88" ref="AO151:AO156">J151*1</f>
        <v>0</v>
      </c>
      <c r="AP151" s="13">
        <f aca="true" t="shared" si="89" ref="AP151:AP156">J151*(1-1)</f>
        <v>0</v>
      </c>
      <c r="AQ151" s="32" t="s">
        <v>1231</v>
      </c>
      <c r="AV151" s="13">
        <f t="shared" si="80"/>
        <v>0</v>
      </c>
      <c r="AW151" s="13">
        <f t="shared" si="81"/>
        <v>0</v>
      </c>
      <c r="AX151" s="13">
        <f t="shared" si="82"/>
        <v>0</v>
      </c>
      <c r="AY151" s="32" t="s">
        <v>98</v>
      </c>
      <c r="AZ151" s="32" t="s">
        <v>440</v>
      </c>
      <c r="BA151" s="21" t="s">
        <v>854</v>
      </c>
      <c r="BC151" s="13">
        <f t="shared" si="83"/>
        <v>0</v>
      </c>
      <c r="BD151" s="13">
        <f t="shared" si="84"/>
        <v>0</v>
      </c>
      <c r="BE151" s="13">
        <v>0</v>
      </c>
      <c r="BF151" s="13">
        <f>151</f>
        <v>151</v>
      </c>
      <c r="BH151" s="13">
        <f t="shared" si="85"/>
        <v>0</v>
      </c>
      <c r="BI151" s="13">
        <f t="shared" si="86"/>
        <v>0</v>
      </c>
      <c r="BJ151" s="13">
        <f t="shared" si="87"/>
        <v>0</v>
      </c>
      <c r="BK151" s="13"/>
      <c r="BL151" s="13">
        <v>89</v>
      </c>
    </row>
    <row r="152" spans="1:64" ht="15" customHeight="1">
      <c r="A152" s="11" t="s">
        <v>566</v>
      </c>
      <c r="B152" s="48" t="s">
        <v>103</v>
      </c>
      <c r="C152" s="48" t="s">
        <v>905</v>
      </c>
      <c r="D152" s="61" t="s">
        <v>1161</v>
      </c>
      <c r="E152" s="61"/>
      <c r="F152" s="61"/>
      <c r="G152" s="61"/>
      <c r="H152" s="48" t="s">
        <v>299</v>
      </c>
      <c r="I152" s="13">
        <v>20</v>
      </c>
      <c r="J152" s="13">
        <v>0</v>
      </c>
      <c r="K152" s="13">
        <f t="shared" si="66"/>
        <v>0</v>
      </c>
      <c r="L152" s="13">
        <f t="shared" si="67"/>
        <v>0</v>
      </c>
      <c r="M152" s="13">
        <f t="shared" si="68"/>
        <v>0</v>
      </c>
      <c r="N152" s="13">
        <v>0.04</v>
      </c>
      <c r="O152" s="10" t="s">
        <v>851</v>
      </c>
      <c r="Z152" s="13">
        <f t="shared" si="69"/>
        <v>0</v>
      </c>
      <c r="AB152" s="13">
        <f t="shared" si="70"/>
        <v>0</v>
      </c>
      <c r="AC152" s="13">
        <f t="shared" si="71"/>
        <v>0</v>
      </c>
      <c r="AD152" s="13">
        <f t="shared" si="72"/>
        <v>0</v>
      </c>
      <c r="AE152" s="13">
        <f t="shared" si="73"/>
        <v>0</v>
      </c>
      <c r="AF152" s="13">
        <f t="shared" si="74"/>
        <v>0</v>
      </c>
      <c r="AG152" s="13">
        <f t="shared" si="75"/>
        <v>0</v>
      </c>
      <c r="AH152" s="13">
        <f t="shared" si="76"/>
        <v>0</v>
      </c>
      <c r="AI152" s="21" t="s">
        <v>103</v>
      </c>
      <c r="AJ152" s="13">
        <f t="shared" si="77"/>
        <v>0</v>
      </c>
      <c r="AK152" s="13">
        <f t="shared" si="78"/>
        <v>0</v>
      </c>
      <c r="AL152" s="13">
        <f t="shared" si="79"/>
        <v>0</v>
      </c>
      <c r="AN152" s="13">
        <v>21</v>
      </c>
      <c r="AO152" s="13">
        <f t="shared" si="88"/>
        <v>0</v>
      </c>
      <c r="AP152" s="13">
        <f t="shared" si="89"/>
        <v>0</v>
      </c>
      <c r="AQ152" s="32" t="s">
        <v>1231</v>
      </c>
      <c r="AV152" s="13">
        <f t="shared" si="80"/>
        <v>0</v>
      </c>
      <c r="AW152" s="13">
        <f t="shared" si="81"/>
        <v>0</v>
      </c>
      <c r="AX152" s="13">
        <f t="shared" si="82"/>
        <v>0</v>
      </c>
      <c r="AY152" s="32" t="s">
        <v>98</v>
      </c>
      <c r="AZ152" s="32" t="s">
        <v>440</v>
      </c>
      <c r="BA152" s="21" t="s">
        <v>854</v>
      </c>
      <c r="BC152" s="13">
        <f t="shared" si="83"/>
        <v>0</v>
      </c>
      <c r="BD152" s="13">
        <f t="shared" si="84"/>
        <v>0</v>
      </c>
      <c r="BE152" s="13">
        <v>0</v>
      </c>
      <c r="BF152" s="13">
        <f>152</f>
        <v>152</v>
      </c>
      <c r="BH152" s="13">
        <f t="shared" si="85"/>
        <v>0</v>
      </c>
      <c r="BI152" s="13">
        <f t="shared" si="86"/>
        <v>0</v>
      </c>
      <c r="BJ152" s="13">
        <f t="shared" si="87"/>
        <v>0</v>
      </c>
      <c r="BK152" s="13"/>
      <c r="BL152" s="13">
        <v>89</v>
      </c>
    </row>
    <row r="153" spans="1:64" ht="15" customHeight="1">
      <c r="A153" s="11" t="s">
        <v>1008</v>
      </c>
      <c r="B153" s="48" t="s">
        <v>103</v>
      </c>
      <c r="C153" s="48" t="s">
        <v>1229</v>
      </c>
      <c r="D153" s="61" t="s">
        <v>252</v>
      </c>
      <c r="E153" s="61"/>
      <c r="F153" s="61"/>
      <c r="G153" s="61"/>
      <c r="H153" s="48" t="s">
        <v>299</v>
      </c>
      <c r="I153" s="13">
        <v>1</v>
      </c>
      <c r="J153" s="13">
        <v>0</v>
      </c>
      <c r="K153" s="13">
        <f t="shared" si="66"/>
        <v>0</v>
      </c>
      <c r="L153" s="13">
        <f t="shared" si="67"/>
        <v>0</v>
      </c>
      <c r="M153" s="13">
        <f t="shared" si="68"/>
        <v>0</v>
      </c>
      <c r="N153" s="13">
        <v>0.068</v>
      </c>
      <c r="O153" s="10" t="s">
        <v>851</v>
      </c>
      <c r="Z153" s="13">
        <f t="shared" si="69"/>
        <v>0</v>
      </c>
      <c r="AB153" s="13">
        <f t="shared" si="70"/>
        <v>0</v>
      </c>
      <c r="AC153" s="13">
        <f t="shared" si="71"/>
        <v>0</v>
      </c>
      <c r="AD153" s="13">
        <f t="shared" si="72"/>
        <v>0</v>
      </c>
      <c r="AE153" s="13">
        <f t="shared" si="73"/>
        <v>0</v>
      </c>
      <c r="AF153" s="13">
        <f t="shared" si="74"/>
        <v>0</v>
      </c>
      <c r="AG153" s="13">
        <f t="shared" si="75"/>
        <v>0</v>
      </c>
      <c r="AH153" s="13">
        <f t="shared" si="76"/>
        <v>0</v>
      </c>
      <c r="AI153" s="21" t="s">
        <v>103</v>
      </c>
      <c r="AJ153" s="13">
        <f t="shared" si="77"/>
        <v>0</v>
      </c>
      <c r="AK153" s="13">
        <f t="shared" si="78"/>
        <v>0</v>
      </c>
      <c r="AL153" s="13">
        <f t="shared" si="79"/>
        <v>0</v>
      </c>
      <c r="AN153" s="13">
        <v>21</v>
      </c>
      <c r="AO153" s="13">
        <f t="shared" si="88"/>
        <v>0</v>
      </c>
      <c r="AP153" s="13">
        <f t="shared" si="89"/>
        <v>0</v>
      </c>
      <c r="AQ153" s="32" t="s">
        <v>1231</v>
      </c>
      <c r="AV153" s="13">
        <f t="shared" si="80"/>
        <v>0</v>
      </c>
      <c r="AW153" s="13">
        <f t="shared" si="81"/>
        <v>0</v>
      </c>
      <c r="AX153" s="13">
        <f t="shared" si="82"/>
        <v>0</v>
      </c>
      <c r="AY153" s="32" t="s">
        <v>98</v>
      </c>
      <c r="AZ153" s="32" t="s">
        <v>440</v>
      </c>
      <c r="BA153" s="21" t="s">
        <v>854</v>
      </c>
      <c r="BC153" s="13">
        <f t="shared" si="83"/>
        <v>0</v>
      </c>
      <c r="BD153" s="13">
        <f t="shared" si="84"/>
        <v>0</v>
      </c>
      <c r="BE153" s="13">
        <v>0</v>
      </c>
      <c r="BF153" s="13">
        <f>153</f>
        <v>153</v>
      </c>
      <c r="BH153" s="13">
        <f t="shared" si="85"/>
        <v>0</v>
      </c>
      <c r="BI153" s="13">
        <f t="shared" si="86"/>
        <v>0</v>
      </c>
      <c r="BJ153" s="13">
        <f t="shared" si="87"/>
        <v>0</v>
      </c>
      <c r="BK153" s="13"/>
      <c r="BL153" s="13">
        <v>89</v>
      </c>
    </row>
    <row r="154" spans="1:64" ht="15" customHeight="1">
      <c r="A154" s="11" t="s">
        <v>1138</v>
      </c>
      <c r="B154" s="48" t="s">
        <v>103</v>
      </c>
      <c r="C154" s="48" t="s">
        <v>45</v>
      </c>
      <c r="D154" s="61" t="s">
        <v>309</v>
      </c>
      <c r="E154" s="61"/>
      <c r="F154" s="61"/>
      <c r="G154" s="61"/>
      <c r="H154" s="48" t="s">
        <v>299</v>
      </c>
      <c r="I154" s="13">
        <v>2</v>
      </c>
      <c r="J154" s="13">
        <v>0</v>
      </c>
      <c r="K154" s="13">
        <f t="shared" si="66"/>
        <v>0</v>
      </c>
      <c r="L154" s="13">
        <f t="shared" si="67"/>
        <v>0</v>
      </c>
      <c r="M154" s="13">
        <f t="shared" si="68"/>
        <v>0</v>
      </c>
      <c r="N154" s="13">
        <v>0.081</v>
      </c>
      <c r="O154" s="10" t="s">
        <v>851</v>
      </c>
      <c r="Z154" s="13">
        <f t="shared" si="69"/>
        <v>0</v>
      </c>
      <c r="AB154" s="13">
        <f t="shared" si="70"/>
        <v>0</v>
      </c>
      <c r="AC154" s="13">
        <f t="shared" si="71"/>
        <v>0</v>
      </c>
      <c r="AD154" s="13">
        <f t="shared" si="72"/>
        <v>0</v>
      </c>
      <c r="AE154" s="13">
        <f t="shared" si="73"/>
        <v>0</v>
      </c>
      <c r="AF154" s="13">
        <f t="shared" si="74"/>
        <v>0</v>
      </c>
      <c r="AG154" s="13">
        <f t="shared" si="75"/>
        <v>0</v>
      </c>
      <c r="AH154" s="13">
        <f t="shared" si="76"/>
        <v>0</v>
      </c>
      <c r="AI154" s="21" t="s">
        <v>103</v>
      </c>
      <c r="AJ154" s="13">
        <f t="shared" si="77"/>
        <v>0</v>
      </c>
      <c r="AK154" s="13">
        <f t="shared" si="78"/>
        <v>0</v>
      </c>
      <c r="AL154" s="13">
        <f t="shared" si="79"/>
        <v>0</v>
      </c>
      <c r="AN154" s="13">
        <v>21</v>
      </c>
      <c r="AO154" s="13">
        <f t="shared" si="88"/>
        <v>0</v>
      </c>
      <c r="AP154" s="13">
        <f t="shared" si="89"/>
        <v>0</v>
      </c>
      <c r="AQ154" s="32" t="s">
        <v>1231</v>
      </c>
      <c r="AV154" s="13">
        <f t="shared" si="80"/>
        <v>0</v>
      </c>
      <c r="AW154" s="13">
        <f t="shared" si="81"/>
        <v>0</v>
      </c>
      <c r="AX154" s="13">
        <f t="shared" si="82"/>
        <v>0</v>
      </c>
      <c r="AY154" s="32" t="s">
        <v>98</v>
      </c>
      <c r="AZ154" s="32" t="s">
        <v>440</v>
      </c>
      <c r="BA154" s="21" t="s">
        <v>854</v>
      </c>
      <c r="BC154" s="13">
        <f t="shared" si="83"/>
        <v>0</v>
      </c>
      <c r="BD154" s="13">
        <f t="shared" si="84"/>
        <v>0</v>
      </c>
      <c r="BE154" s="13">
        <v>0</v>
      </c>
      <c r="BF154" s="13">
        <f>154</f>
        <v>154</v>
      </c>
      <c r="BH154" s="13">
        <f t="shared" si="85"/>
        <v>0</v>
      </c>
      <c r="BI154" s="13">
        <f t="shared" si="86"/>
        <v>0</v>
      </c>
      <c r="BJ154" s="13">
        <f t="shared" si="87"/>
        <v>0</v>
      </c>
      <c r="BK154" s="13"/>
      <c r="BL154" s="13">
        <v>89</v>
      </c>
    </row>
    <row r="155" spans="1:64" ht="15" customHeight="1">
      <c r="A155" s="11" t="s">
        <v>1073</v>
      </c>
      <c r="B155" s="48" t="s">
        <v>103</v>
      </c>
      <c r="C155" s="48" t="s">
        <v>659</v>
      </c>
      <c r="D155" s="61" t="s">
        <v>803</v>
      </c>
      <c r="E155" s="61"/>
      <c r="F155" s="61"/>
      <c r="G155" s="61"/>
      <c r="H155" s="48" t="s">
        <v>299</v>
      </c>
      <c r="I155" s="13">
        <v>3</v>
      </c>
      <c r="J155" s="13">
        <v>0</v>
      </c>
      <c r="K155" s="13">
        <f t="shared" si="66"/>
        <v>0</v>
      </c>
      <c r="L155" s="13">
        <f t="shared" si="67"/>
        <v>0</v>
      </c>
      <c r="M155" s="13">
        <f t="shared" si="68"/>
        <v>0</v>
      </c>
      <c r="N155" s="13">
        <v>0</v>
      </c>
      <c r="O155" s="10" t="s">
        <v>851</v>
      </c>
      <c r="Z155" s="13">
        <f t="shared" si="69"/>
        <v>0</v>
      </c>
      <c r="AB155" s="13">
        <f t="shared" si="70"/>
        <v>0</v>
      </c>
      <c r="AC155" s="13">
        <f t="shared" si="71"/>
        <v>0</v>
      </c>
      <c r="AD155" s="13">
        <f t="shared" si="72"/>
        <v>0</v>
      </c>
      <c r="AE155" s="13">
        <f t="shared" si="73"/>
        <v>0</v>
      </c>
      <c r="AF155" s="13">
        <f t="shared" si="74"/>
        <v>0</v>
      </c>
      <c r="AG155" s="13">
        <f t="shared" si="75"/>
        <v>0</v>
      </c>
      <c r="AH155" s="13">
        <f t="shared" si="76"/>
        <v>0</v>
      </c>
      <c r="AI155" s="21" t="s">
        <v>103</v>
      </c>
      <c r="AJ155" s="13">
        <f t="shared" si="77"/>
        <v>0</v>
      </c>
      <c r="AK155" s="13">
        <f t="shared" si="78"/>
        <v>0</v>
      </c>
      <c r="AL155" s="13">
        <f t="shared" si="79"/>
        <v>0</v>
      </c>
      <c r="AN155" s="13">
        <v>21</v>
      </c>
      <c r="AO155" s="13">
        <f t="shared" si="88"/>
        <v>0</v>
      </c>
      <c r="AP155" s="13">
        <f t="shared" si="89"/>
        <v>0</v>
      </c>
      <c r="AQ155" s="32" t="s">
        <v>1231</v>
      </c>
      <c r="AV155" s="13">
        <f t="shared" si="80"/>
        <v>0</v>
      </c>
      <c r="AW155" s="13">
        <f t="shared" si="81"/>
        <v>0</v>
      </c>
      <c r="AX155" s="13">
        <f t="shared" si="82"/>
        <v>0</v>
      </c>
      <c r="AY155" s="32" t="s">
        <v>98</v>
      </c>
      <c r="AZ155" s="32" t="s">
        <v>440</v>
      </c>
      <c r="BA155" s="21" t="s">
        <v>854</v>
      </c>
      <c r="BC155" s="13">
        <f t="shared" si="83"/>
        <v>0</v>
      </c>
      <c r="BD155" s="13">
        <f t="shared" si="84"/>
        <v>0</v>
      </c>
      <c r="BE155" s="13">
        <v>0</v>
      </c>
      <c r="BF155" s="13">
        <f>155</f>
        <v>155</v>
      </c>
      <c r="BH155" s="13">
        <f t="shared" si="85"/>
        <v>0</v>
      </c>
      <c r="BI155" s="13">
        <f t="shared" si="86"/>
        <v>0</v>
      </c>
      <c r="BJ155" s="13">
        <f t="shared" si="87"/>
        <v>0</v>
      </c>
      <c r="BK155" s="13"/>
      <c r="BL155" s="13">
        <v>89</v>
      </c>
    </row>
    <row r="156" spans="1:64" ht="15" customHeight="1">
      <c r="A156" s="11" t="s">
        <v>38</v>
      </c>
      <c r="B156" s="48" t="s">
        <v>103</v>
      </c>
      <c r="C156" s="48" t="s">
        <v>1123</v>
      </c>
      <c r="D156" s="61" t="s">
        <v>90</v>
      </c>
      <c r="E156" s="61"/>
      <c r="F156" s="61"/>
      <c r="G156" s="61"/>
      <c r="H156" s="48" t="s">
        <v>299</v>
      </c>
      <c r="I156" s="13">
        <v>13</v>
      </c>
      <c r="J156" s="13">
        <v>0</v>
      </c>
      <c r="K156" s="13">
        <f t="shared" si="66"/>
        <v>0</v>
      </c>
      <c r="L156" s="13">
        <f t="shared" si="67"/>
        <v>0</v>
      </c>
      <c r="M156" s="13">
        <f t="shared" si="68"/>
        <v>0</v>
      </c>
      <c r="N156" s="13">
        <v>0.5</v>
      </c>
      <c r="O156" s="10" t="s">
        <v>851</v>
      </c>
      <c r="Z156" s="13">
        <f t="shared" si="69"/>
        <v>0</v>
      </c>
      <c r="AB156" s="13">
        <f t="shared" si="70"/>
        <v>0</v>
      </c>
      <c r="AC156" s="13">
        <f t="shared" si="71"/>
        <v>0</v>
      </c>
      <c r="AD156" s="13">
        <f t="shared" si="72"/>
        <v>0</v>
      </c>
      <c r="AE156" s="13">
        <f t="shared" si="73"/>
        <v>0</v>
      </c>
      <c r="AF156" s="13">
        <f t="shared" si="74"/>
        <v>0</v>
      </c>
      <c r="AG156" s="13">
        <f t="shared" si="75"/>
        <v>0</v>
      </c>
      <c r="AH156" s="13">
        <f t="shared" si="76"/>
        <v>0</v>
      </c>
      <c r="AI156" s="21" t="s">
        <v>103</v>
      </c>
      <c r="AJ156" s="13">
        <f t="shared" si="77"/>
        <v>0</v>
      </c>
      <c r="AK156" s="13">
        <f t="shared" si="78"/>
        <v>0</v>
      </c>
      <c r="AL156" s="13">
        <f t="shared" si="79"/>
        <v>0</v>
      </c>
      <c r="AN156" s="13">
        <v>21</v>
      </c>
      <c r="AO156" s="13">
        <f t="shared" si="88"/>
        <v>0</v>
      </c>
      <c r="AP156" s="13">
        <f t="shared" si="89"/>
        <v>0</v>
      </c>
      <c r="AQ156" s="32" t="s">
        <v>1231</v>
      </c>
      <c r="AV156" s="13">
        <f t="shared" si="80"/>
        <v>0</v>
      </c>
      <c r="AW156" s="13">
        <f t="shared" si="81"/>
        <v>0</v>
      </c>
      <c r="AX156" s="13">
        <f t="shared" si="82"/>
        <v>0</v>
      </c>
      <c r="AY156" s="32" t="s">
        <v>98</v>
      </c>
      <c r="AZ156" s="32" t="s">
        <v>440</v>
      </c>
      <c r="BA156" s="21" t="s">
        <v>854</v>
      </c>
      <c r="BC156" s="13">
        <f t="shared" si="83"/>
        <v>0</v>
      </c>
      <c r="BD156" s="13">
        <f t="shared" si="84"/>
        <v>0</v>
      </c>
      <c r="BE156" s="13">
        <v>0</v>
      </c>
      <c r="BF156" s="13">
        <f>156</f>
        <v>156</v>
      </c>
      <c r="BH156" s="13">
        <f t="shared" si="85"/>
        <v>0</v>
      </c>
      <c r="BI156" s="13">
        <f t="shared" si="86"/>
        <v>0</v>
      </c>
      <c r="BJ156" s="13">
        <f t="shared" si="87"/>
        <v>0</v>
      </c>
      <c r="BK156" s="13"/>
      <c r="BL156" s="13">
        <v>89</v>
      </c>
    </row>
    <row r="157" spans="1:64" ht="15" customHeight="1">
      <c r="A157" s="11" t="s">
        <v>466</v>
      </c>
      <c r="B157" s="48" t="s">
        <v>103</v>
      </c>
      <c r="C157" s="48" t="s">
        <v>601</v>
      </c>
      <c r="D157" s="61" t="s">
        <v>346</v>
      </c>
      <c r="E157" s="61"/>
      <c r="F157" s="61"/>
      <c r="G157" s="61"/>
      <c r="H157" s="48" t="s">
        <v>299</v>
      </c>
      <c r="I157" s="13">
        <v>17</v>
      </c>
      <c r="J157" s="13">
        <v>0</v>
      </c>
      <c r="K157" s="13">
        <f t="shared" si="66"/>
        <v>0</v>
      </c>
      <c r="L157" s="13">
        <f t="shared" si="67"/>
        <v>0</v>
      </c>
      <c r="M157" s="13">
        <f t="shared" si="68"/>
        <v>0</v>
      </c>
      <c r="N157" s="13">
        <v>0</v>
      </c>
      <c r="O157" s="10" t="s">
        <v>851</v>
      </c>
      <c r="Z157" s="13">
        <f t="shared" si="69"/>
        <v>0</v>
      </c>
      <c r="AB157" s="13">
        <f t="shared" si="70"/>
        <v>0</v>
      </c>
      <c r="AC157" s="13">
        <f t="shared" si="71"/>
        <v>0</v>
      </c>
      <c r="AD157" s="13">
        <f t="shared" si="72"/>
        <v>0</v>
      </c>
      <c r="AE157" s="13">
        <f t="shared" si="73"/>
        <v>0</v>
      </c>
      <c r="AF157" s="13">
        <f t="shared" si="74"/>
        <v>0</v>
      </c>
      <c r="AG157" s="13">
        <f t="shared" si="75"/>
        <v>0</v>
      </c>
      <c r="AH157" s="13">
        <f t="shared" si="76"/>
        <v>0</v>
      </c>
      <c r="AI157" s="21" t="s">
        <v>103</v>
      </c>
      <c r="AJ157" s="13">
        <f t="shared" si="77"/>
        <v>0</v>
      </c>
      <c r="AK157" s="13">
        <f t="shared" si="78"/>
        <v>0</v>
      </c>
      <c r="AL157" s="13">
        <f t="shared" si="79"/>
        <v>0</v>
      </c>
      <c r="AN157" s="13">
        <v>21</v>
      </c>
      <c r="AO157" s="13">
        <f>J157*0</f>
        <v>0</v>
      </c>
      <c r="AP157" s="13">
        <f>J157*(1-0)</f>
        <v>0</v>
      </c>
      <c r="AQ157" s="32" t="s">
        <v>1231</v>
      </c>
      <c r="AV157" s="13">
        <f t="shared" si="80"/>
        <v>0</v>
      </c>
      <c r="AW157" s="13">
        <f t="shared" si="81"/>
        <v>0</v>
      </c>
      <c r="AX157" s="13">
        <f t="shared" si="82"/>
        <v>0</v>
      </c>
      <c r="AY157" s="32" t="s">
        <v>98</v>
      </c>
      <c r="AZ157" s="32" t="s">
        <v>440</v>
      </c>
      <c r="BA157" s="21" t="s">
        <v>854</v>
      </c>
      <c r="BC157" s="13">
        <f t="shared" si="83"/>
        <v>0</v>
      </c>
      <c r="BD157" s="13">
        <f t="shared" si="84"/>
        <v>0</v>
      </c>
      <c r="BE157" s="13">
        <v>0</v>
      </c>
      <c r="BF157" s="13">
        <f>157</f>
        <v>157</v>
      </c>
      <c r="BH157" s="13">
        <f t="shared" si="85"/>
        <v>0</v>
      </c>
      <c r="BI157" s="13">
        <f t="shared" si="86"/>
        <v>0</v>
      </c>
      <c r="BJ157" s="13">
        <f t="shared" si="87"/>
        <v>0</v>
      </c>
      <c r="BK157" s="13"/>
      <c r="BL157" s="13">
        <v>89</v>
      </c>
    </row>
    <row r="158" spans="1:64" ht="15" customHeight="1">
      <c r="A158" s="11" t="s">
        <v>158</v>
      </c>
      <c r="B158" s="48" t="s">
        <v>103</v>
      </c>
      <c r="C158" s="48" t="s">
        <v>580</v>
      </c>
      <c r="D158" s="61" t="s">
        <v>1075</v>
      </c>
      <c r="E158" s="61"/>
      <c r="F158" s="61"/>
      <c r="G158" s="61"/>
      <c r="H158" s="48" t="s">
        <v>299</v>
      </c>
      <c r="I158" s="13">
        <v>17</v>
      </c>
      <c r="J158" s="13">
        <v>0</v>
      </c>
      <c r="K158" s="13">
        <f t="shared" si="66"/>
        <v>0</v>
      </c>
      <c r="L158" s="13">
        <f t="shared" si="67"/>
        <v>0</v>
      </c>
      <c r="M158" s="13">
        <f t="shared" si="68"/>
        <v>0</v>
      </c>
      <c r="N158" s="13">
        <v>0</v>
      </c>
      <c r="O158" s="10" t="s">
        <v>851</v>
      </c>
      <c r="Z158" s="13">
        <f t="shared" si="69"/>
        <v>0</v>
      </c>
      <c r="AB158" s="13">
        <f t="shared" si="70"/>
        <v>0</v>
      </c>
      <c r="AC158" s="13">
        <f t="shared" si="71"/>
        <v>0</v>
      </c>
      <c r="AD158" s="13">
        <f t="shared" si="72"/>
        <v>0</v>
      </c>
      <c r="AE158" s="13">
        <f t="shared" si="73"/>
        <v>0</v>
      </c>
      <c r="AF158" s="13">
        <f t="shared" si="74"/>
        <v>0</v>
      </c>
      <c r="AG158" s="13">
        <f t="shared" si="75"/>
        <v>0</v>
      </c>
      <c r="AH158" s="13">
        <f t="shared" si="76"/>
        <v>0</v>
      </c>
      <c r="AI158" s="21" t="s">
        <v>103</v>
      </c>
      <c r="AJ158" s="13">
        <f t="shared" si="77"/>
        <v>0</v>
      </c>
      <c r="AK158" s="13">
        <f t="shared" si="78"/>
        <v>0</v>
      </c>
      <c r="AL158" s="13">
        <f t="shared" si="79"/>
        <v>0</v>
      </c>
      <c r="AN158" s="13">
        <v>21</v>
      </c>
      <c r="AO158" s="13">
        <f>J158*1</f>
        <v>0</v>
      </c>
      <c r="AP158" s="13">
        <f>J158*(1-1)</f>
        <v>0</v>
      </c>
      <c r="AQ158" s="32" t="s">
        <v>1231</v>
      </c>
      <c r="AV158" s="13">
        <f t="shared" si="80"/>
        <v>0</v>
      </c>
      <c r="AW158" s="13">
        <f t="shared" si="81"/>
        <v>0</v>
      </c>
      <c r="AX158" s="13">
        <f t="shared" si="82"/>
        <v>0</v>
      </c>
      <c r="AY158" s="32" t="s">
        <v>98</v>
      </c>
      <c r="AZ158" s="32" t="s">
        <v>440</v>
      </c>
      <c r="BA158" s="21" t="s">
        <v>854</v>
      </c>
      <c r="BC158" s="13">
        <f t="shared" si="83"/>
        <v>0</v>
      </c>
      <c r="BD158" s="13">
        <f t="shared" si="84"/>
        <v>0</v>
      </c>
      <c r="BE158" s="13">
        <v>0</v>
      </c>
      <c r="BF158" s="13">
        <f>158</f>
        <v>158</v>
      </c>
      <c r="BH158" s="13">
        <f t="shared" si="85"/>
        <v>0</v>
      </c>
      <c r="BI158" s="13">
        <f t="shared" si="86"/>
        <v>0</v>
      </c>
      <c r="BJ158" s="13">
        <f t="shared" si="87"/>
        <v>0</v>
      </c>
      <c r="BK158" s="13"/>
      <c r="BL158" s="13">
        <v>89</v>
      </c>
    </row>
    <row r="159" spans="1:64" ht="15" customHeight="1">
      <c r="A159" s="11" t="s">
        <v>1354</v>
      </c>
      <c r="B159" s="48" t="s">
        <v>103</v>
      </c>
      <c r="C159" s="48" t="s">
        <v>63</v>
      </c>
      <c r="D159" s="61" t="s">
        <v>355</v>
      </c>
      <c r="E159" s="61"/>
      <c r="F159" s="61"/>
      <c r="G159" s="61"/>
      <c r="H159" s="48" t="s">
        <v>299</v>
      </c>
      <c r="I159" s="13">
        <v>1</v>
      </c>
      <c r="J159" s="13">
        <v>0</v>
      </c>
      <c r="K159" s="13">
        <f t="shared" si="66"/>
        <v>0</v>
      </c>
      <c r="L159" s="13">
        <f t="shared" si="67"/>
        <v>0</v>
      </c>
      <c r="M159" s="13">
        <f t="shared" si="68"/>
        <v>0</v>
      </c>
      <c r="N159" s="13">
        <v>1</v>
      </c>
      <c r="O159" s="10" t="s">
        <v>851</v>
      </c>
      <c r="Z159" s="13">
        <f t="shared" si="69"/>
        <v>0</v>
      </c>
      <c r="AB159" s="13">
        <f t="shared" si="70"/>
        <v>0</v>
      </c>
      <c r="AC159" s="13">
        <f t="shared" si="71"/>
        <v>0</v>
      </c>
      <c r="AD159" s="13">
        <f t="shared" si="72"/>
        <v>0</v>
      </c>
      <c r="AE159" s="13">
        <f t="shared" si="73"/>
        <v>0</v>
      </c>
      <c r="AF159" s="13">
        <f t="shared" si="74"/>
        <v>0</v>
      </c>
      <c r="AG159" s="13">
        <f t="shared" si="75"/>
        <v>0</v>
      </c>
      <c r="AH159" s="13">
        <f t="shared" si="76"/>
        <v>0</v>
      </c>
      <c r="AI159" s="21" t="s">
        <v>103</v>
      </c>
      <c r="AJ159" s="13">
        <f t="shared" si="77"/>
        <v>0</v>
      </c>
      <c r="AK159" s="13">
        <f t="shared" si="78"/>
        <v>0</v>
      </c>
      <c r="AL159" s="13">
        <f t="shared" si="79"/>
        <v>0</v>
      </c>
      <c r="AN159" s="13">
        <v>21</v>
      </c>
      <c r="AO159" s="13">
        <f>J159*1</f>
        <v>0</v>
      </c>
      <c r="AP159" s="13">
        <f>J159*(1-1)</f>
        <v>0</v>
      </c>
      <c r="AQ159" s="32" t="s">
        <v>1231</v>
      </c>
      <c r="AV159" s="13">
        <f t="shared" si="80"/>
        <v>0</v>
      </c>
      <c r="AW159" s="13">
        <f t="shared" si="81"/>
        <v>0</v>
      </c>
      <c r="AX159" s="13">
        <f t="shared" si="82"/>
        <v>0</v>
      </c>
      <c r="AY159" s="32" t="s">
        <v>98</v>
      </c>
      <c r="AZ159" s="32" t="s">
        <v>440</v>
      </c>
      <c r="BA159" s="21" t="s">
        <v>854</v>
      </c>
      <c r="BC159" s="13">
        <f t="shared" si="83"/>
        <v>0</v>
      </c>
      <c r="BD159" s="13">
        <f t="shared" si="84"/>
        <v>0</v>
      </c>
      <c r="BE159" s="13">
        <v>0</v>
      </c>
      <c r="BF159" s="13">
        <f>159</f>
        <v>159</v>
      </c>
      <c r="BH159" s="13">
        <f t="shared" si="85"/>
        <v>0</v>
      </c>
      <c r="BI159" s="13">
        <f t="shared" si="86"/>
        <v>0</v>
      </c>
      <c r="BJ159" s="13">
        <f t="shared" si="87"/>
        <v>0</v>
      </c>
      <c r="BK159" s="13"/>
      <c r="BL159" s="13">
        <v>89</v>
      </c>
    </row>
    <row r="160" spans="1:64" ht="15" customHeight="1">
      <c r="A160" s="11" t="s">
        <v>572</v>
      </c>
      <c r="B160" s="48" t="s">
        <v>103</v>
      </c>
      <c r="C160" s="48" t="s">
        <v>475</v>
      </c>
      <c r="D160" s="61" t="s">
        <v>992</v>
      </c>
      <c r="E160" s="61"/>
      <c r="F160" s="61"/>
      <c r="G160" s="61"/>
      <c r="H160" s="48" t="s">
        <v>299</v>
      </c>
      <c r="I160" s="13">
        <v>33</v>
      </c>
      <c r="J160" s="13">
        <v>0</v>
      </c>
      <c r="K160" s="13">
        <f t="shared" si="66"/>
        <v>0</v>
      </c>
      <c r="L160" s="13">
        <f t="shared" si="67"/>
        <v>0</v>
      </c>
      <c r="M160" s="13">
        <f t="shared" si="68"/>
        <v>0</v>
      </c>
      <c r="N160" s="13">
        <v>0</v>
      </c>
      <c r="O160" s="10" t="s">
        <v>851</v>
      </c>
      <c r="Z160" s="13">
        <f t="shared" si="69"/>
        <v>0</v>
      </c>
      <c r="AB160" s="13">
        <f t="shared" si="70"/>
        <v>0</v>
      </c>
      <c r="AC160" s="13">
        <f t="shared" si="71"/>
        <v>0</v>
      </c>
      <c r="AD160" s="13">
        <f t="shared" si="72"/>
        <v>0</v>
      </c>
      <c r="AE160" s="13">
        <f t="shared" si="73"/>
        <v>0</v>
      </c>
      <c r="AF160" s="13">
        <f t="shared" si="74"/>
        <v>0</v>
      </c>
      <c r="AG160" s="13">
        <f t="shared" si="75"/>
        <v>0</v>
      </c>
      <c r="AH160" s="13">
        <f t="shared" si="76"/>
        <v>0</v>
      </c>
      <c r="AI160" s="21" t="s">
        <v>103</v>
      </c>
      <c r="AJ160" s="13">
        <f t="shared" si="77"/>
        <v>0</v>
      </c>
      <c r="AK160" s="13">
        <f t="shared" si="78"/>
        <v>0</v>
      </c>
      <c r="AL160" s="13">
        <f t="shared" si="79"/>
        <v>0</v>
      </c>
      <c r="AN160" s="13">
        <v>21</v>
      </c>
      <c r="AO160" s="13">
        <f>J160*1</f>
        <v>0</v>
      </c>
      <c r="AP160" s="13">
        <f>J160*(1-1)</f>
        <v>0</v>
      </c>
      <c r="AQ160" s="32" t="s">
        <v>1231</v>
      </c>
      <c r="AV160" s="13">
        <f t="shared" si="80"/>
        <v>0</v>
      </c>
      <c r="AW160" s="13">
        <f t="shared" si="81"/>
        <v>0</v>
      </c>
      <c r="AX160" s="13">
        <f t="shared" si="82"/>
        <v>0</v>
      </c>
      <c r="AY160" s="32" t="s">
        <v>98</v>
      </c>
      <c r="AZ160" s="32" t="s">
        <v>440</v>
      </c>
      <c r="BA160" s="21" t="s">
        <v>854</v>
      </c>
      <c r="BC160" s="13">
        <f t="shared" si="83"/>
        <v>0</v>
      </c>
      <c r="BD160" s="13">
        <f t="shared" si="84"/>
        <v>0</v>
      </c>
      <c r="BE160" s="13">
        <v>0</v>
      </c>
      <c r="BF160" s="13">
        <f>160</f>
        <v>160</v>
      </c>
      <c r="BH160" s="13">
        <f t="shared" si="85"/>
        <v>0</v>
      </c>
      <c r="BI160" s="13">
        <f t="shared" si="86"/>
        <v>0</v>
      </c>
      <c r="BJ160" s="13">
        <f t="shared" si="87"/>
        <v>0</v>
      </c>
      <c r="BK160" s="13"/>
      <c r="BL160" s="13">
        <v>89</v>
      </c>
    </row>
    <row r="161" spans="1:64" ht="15" customHeight="1">
      <c r="A161" s="11" t="s">
        <v>1009</v>
      </c>
      <c r="B161" s="48" t="s">
        <v>103</v>
      </c>
      <c r="C161" s="48" t="s">
        <v>973</v>
      </c>
      <c r="D161" s="61" t="s">
        <v>442</v>
      </c>
      <c r="E161" s="61"/>
      <c r="F161" s="61"/>
      <c r="G161" s="61"/>
      <c r="H161" s="48" t="s">
        <v>299</v>
      </c>
      <c r="I161" s="13">
        <v>18</v>
      </c>
      <c r="J161" s="13">
        <v>0</v>
      </c>
      <c r="K161" s="13">
        <f t="shared" si="66"/>
        <v>0</v>
      </c>
      <c r="L161" s="13">
        <f t="shared" si="67"/>
        <v>0</v>
      </c>
      <c r="M161" s="13">
        <f t="shared" si="68"/>
        <v>0</v>
      </c>
      <c r="N161" s="13">
        <v>0.00702</v>
      </c>
      <c r="O161" s="10" t="s">
        <v>851</v>
      </c>
      <c r="Z161" s="13">
        <f t="shared" si="69"/>
        <v>0</v>
      </c>
      <c r="AB161" s="13">
        <f t="shared" si="70"/>
        <v>0</v>
      </c>
      <c r="AC161" s="13">
        <f t="shared" si="71"/>
        <v>0</v>
      </c>
      <c r="AD161" s="13">
        <f t="shared" si="72"/>
        <v>0</v>
      </c>
      <c r="AE161" s="13">
        <f t="shared" si="73"/>
        <v>0</v>
      </c>
      <c r="AF161" s="13">
        <f t="shared" si="74"/>
        <v>0</v>
      </c>
      <c r="AG161" s="13">
        <f t="shared" si="75"/>
        <v>0</v>
      </c>
      <c r="AH161" s="13">
        <f t="shared" si="76"/>
        <v>0</v>
      </c>
      <c r="AI161" s="21" t="s">
        <v>103</v>
      </c>
      <c r="AJ161" s="13">
        <f t="shared" si="77"/>
        <v>0</v>
      </c>
      <c r="AK161" s="13">
        <f t="shared" si="78"/>
        <v>0</v>
      </c>
      <c r="AL161" s="13">
        <f t="shared" si="79"/>
        <v>0</v>
      </c>
      <c r="AN161" s="13">
        <v>21</v>
      </c>
      <c r="AO161" s="13">
        <f>J161*0.0102210490819661</f>
        <v>0</v>
      </c>
      <c r="AP161" s="13">
        <f>J161*(1-0.0102210490819661)</f>
        <v>0</v>
      </c>
      <c r="AQ161" s="32" t="s">
        <v>1231</v>
      </c>
      <c r="AV161" s="13">
        <f t="shared" si="80"/>
        <v>0</v>
      </c>
      <c r="AW161" s="13">
        <f t="shared" si="81"/>
        <v>0</v>
      </c>
      <c r="AX161" s="13">
        <f t="shared" si="82"/>
        <v>0</v>
      </c>
      <c r="AY161" s="32" t="s">
        <v>98</v>
      </c>
      <c r="AZ161" s="32" t="s">
        <v>440</v>
      </c>
      <c r="BA161" s="21" t="s">
        <v>854</v>
      </c>
      <c r="BC161" s="13">
        <f t="shared" si="83"/>
        <v>0</v>
      </c>
      <c r="BD161" s="13">
        <f t="shared" si="84"/>
        <v>0</v>
      </c>
      <c r="BE161" s="13">
        <v>0</v>
      </c>
      <c r="BF161" s="13">
        <f>161</f>
        <v>161</v>
      </c>
      <c r="BH161" s="13">
        <f t="shared" si="85"/>
        <v>0</v>
      </c>
      <c r="BI161" s="13">
        <f t="shared" si="86"/>
        <v>0</v>
      </c>
      <c r="BJ161" s="13">
        <f t="shared" si="87"/>
        <v>0</v>
      </c>
      <c r="BK161" s="13"/>
      <c r="BL161" s="13">
        <v>89</v>
      </c>
    </row>
    <row r="162" spans="1:64" ht="15" customHeight="1">
      <c r="A162" s="11" t="s">
        <v>552</v>
      </c>
      <c r="B162" s="48" t="s">
        <v>103</v>
      </c>
      <c r="C162" s="48" t="s">
        <v>891</v>
      </c>
      <c r="D162" s="61" t="s">
        <v>766</v>
      </c>
      <c r="E162" s="61"/>
      <c r="F162" s="61"/>
      <c r="G162" s="61"/>
      <c r="H162" s="48" t="s">
        <v>299</v>
      </c>
      <c r="I162" s="13">
        <v>3</v>
      </c>
      <c r="J162" s="13">
        <v>0</v>
      </c>
      <c r="K162" s="13">
        <f t="shared" si="66"/>
        <v>0</v>
      </c>
      <c r="L162" s="13">
        <f t="shared" si="67"/>
        <v>0</v>
      </c>
      <c r="M162" s="13">
        <f t="shared" si="68"/>
        <v>0</v>
      </c>
      <c r="N162" s="13">
        <v>0.0695</v>
      </c>
      <c r="O162" s="10" t="s">
        <v>851</v>
      </c>
      <c r="Z162" s="13">
        <f t="shared" si="69"/>
        <v>0</v>
      </c>
      <c r="AB162" s="13">
        <f t="shared" si="70"/>
        <v>0</v>
      </c>
      <c r="AC162" s="13">
        <f t="shared" si="71"/>
        <v>0</v>
      </c>
      <c r="AD162" s="13">
        <f t="shared" si="72"/>
        <v>0</v>
      </c>
      <c r="AE162" s="13">
        <f t="shared" si="73"/>
        <v>0</v>
      </c>
      <c r="AF162" s="13">
        <f t="shared" si="74"/>
        <v>0</v>
      </c>
      <c r="AG162" s="13">
        <f t="shared" si="75"/>
        <v>0</v>
      </c>
      <c r="AH162" s="13">
        <f t="shared" si="76"/>
        <v>0</v>
      </c>
      <c r="AI162" s="21" t="s">
        <v>103</v>
      </c>
      <c r="AJ162" s="13">
        <f t="shared" si="77"/>
        <v>0</v>
      </c>
      <c r="AK162" s="13">
        <f t="shared" si="78"/>
        <v>0</v>
      </c>
      <c r="AL162" s="13">
        <f t="shared" si="79"/>
        <v>0</v>
      </c>
      <c r="AN162" s="13">
        <v>21</v>
      </c>
      <c r="AO162" s="13">
        <f>J162*1</f>
        <v>0</v>
      </c>
      <c r="AP162" s="13">
        <f>J162*(1-1)</f>
        <v>0</v>
      </c>
      <c r="AQ162" s="32" t="s">
        <v>1231</v>
      </c>
      <c r="AV162" s="13">
        <f t="shared" si="80"/>
        <v>0</v>
      </c>
      <c r="AW162" s="13">
        <f t="shared" si="81"/>
        <v>0</v>
      </c>
      <c r="AX162" s="13">
        <f t="shared" si="82"/>
        <v>0</v>
      </c>
      <c r="AY162" s="32" t="s">
        <v>98</v>
      </c>
      <c r="AZ162" s="32" t="s">
        <v>440</v>
      </c>
      <c r="BA162" s="21" t="s">
        <v>854</v>
      </c>
      <c r="BC162" s="13">
        <f t="shared" si="83"/>
        <v>0</v>
      </c>
      <c r="BD162" s="13">
        <f t="shared" si="84"/>
        <v>0</v>
      </c>
      <c r="BE162" s="13">
        <v>0</v>
      </c>
      <c r="BF162" s="13">
        <f>162</f>
        <v>162</v>
      </c>
      <c r="BH162" s="13">
        <f t="shared" si="85"/>
        <v>0</v>
      </c>
      <c r="BI162" s="13">
        <f t="shared" si="86"/>
        <v>0</v>
      </c>
      <c r="BJ162" s="13">
        <f t="shared" si="87"/>
        <v>0</v>
      </c>
      <c r="BK162" s="13"/>
      <c r="BL162" s="13">
        <v>89</v>
      </c>
    </row>
    <row r="163" spans="1:64" ht="15" customHeight="1">
      <c r="A163" s="11" t="s">
        <v>797</v>
      </c>
      <c r="B163" s="48" t="s">
        <v>103</v>
      </c>
      <c r="C163" s="48" t="s">
        <v>694</v>
      </c>
      <c r="D163" s="61" t="s">
        <v>56</v>
      </c>
      <c r="E163" s="61"/>
      <c r="F163" s="61"/>
      <c r="G163" s="61"/>
      <c r="H163" s="48" t="s">
        <v>299</v>
      </c>
      <c r="I163" s="13">
        <v>15</v>
      </c>
      <c r="J163" s="13">
        <v>0</v>
      </c>
      <c r="K163" s="13">
        <f t="shared" si="66"/>
        <v>0</v>
      </c>
      <c r="L163" s="13">
        <f t="shared" si="67"/>
        <v>0</v>
      </c>
      <c r="M163" s="13">
        <f t="shared" si="68"/>
        <v>0</v>
      </c>
      <c r="N163" s="13">
        <v>0.062</v>
      </c>
      <c r="O163" s="10" t="s">
        <v>851</v>
      </c>
      <c r="Z163" s="13">
        <f t="shared" si="69"/>
        <v>0</v>
      </c>
      <c r="AB163" s="13">
        <f t="shared" si="70"/>
        <v>0</v>
      </c>
      <c r="AC163" s="13">
        <f t="shared" si="71"/>
        <v>0</v>
      </c>
      <c r="AD163" s="13">
        <f t="shared" si="72"/>
        <v>0</v>
      </c>
      <c r="AE163" s="13">
        <f t="shared" si="73"/>
        <v>0</v>
      </c>
      <c r="AF163" s="13">
        <f t="shared" si="74"/>
        <v>0</v>
      </c>
      <c r="AG163" s="13">
        <f t="shared" si="75"/>
        <v>0</v>
      </c>
      <c r="AH163" s="13">
        <f t="shared" si="76"/>
        <v>0</v>
      </c>
      <c r="AI163" s="21" t="s">
        <v>103</v>
      </c>
      <c r="AJ163" s="13">
        <f t="shared" si="77"/>
        <v>0</v>
      </c>
      <c r="AK163" s="13">
        <f t="shared" si="78"/>
        <v>0</v>
      </c>
      <c r="AL163" s="13">
        <f t="shared" si="79"/>
        <v>0</v>
      </c>
      <c r="AN163" s="13">
        <v>21</v>
      </c>
      <c r="AO163" s="13">
        <f>J163*1</f>
        <v>0</v>
      </c>
      <c r="AP163" s="13">
        <f>J163*(1-1)</f>
        <v>0</v>
      </c>
      <c r="AQ163" s="32" t="s">
        <v>1231</v>
      </c>
      <c r="AV163" s="13">
        <f t="shared" si="80"/>
        <v>0</v>
      </c>
      <c r="AW163" s="13">
        <f t="shared" si="81"/>
        <v>0</v>
      </c>
      <c r="AX163" s="13">
        <f t="shared" si="82"/>
        <v>0</v>
      </c>
      <c r="AY163" s="32" t="s">
        <v>98</v>
      </c>
      <c r="AZ163" s="32" t="s">
        <v>440</v>
      </c>
      <c r="BA163" s="21" t="s">
        <v>854</v>
      </c>
      <c r="BC163" s="13">
        <f t="shared" si="83"/>
        <v>0</v>
      </c>
      <c r="BD163" s="13">
        <f t="shared" si="84"/>
        <v>0</v>
      </c>
      <c r="BE163" s="13">
        <v>0</v>
      </c>
      <c r="BF163" s="13">
        <f>163</f>
        <v>163</v>
      </c>
      <c r="BH163" s="13">
        <f t="shared" si="85"/>
        <v>0</v>
      </c>
      <c r="BI163" s="13">
        <f t="shared" si="86"/>
        <v>0</v>
      </c>
      <c r="BJ163" s="13">
        <f t="shared" si="87"/>
        <v>0</v>
      </c>
      <c r="BK163" s="13"/>
      <c r="BL163" s="13">
        <v>89</v>
      </c>
    </row>
    <row r="164" spans="1:64" ht="15" customHeight="1">
      <c r="A164" s="11" t="s">
        <v>1342</v>
      </c>
      <c r="B164" s="48" t="s">
        <v>103</v>
      </c>
      <c r="C164" s="48" t="s">
        <v>539</v>
      </c>
      <c r="D164" s="61" t="s">
        <v>1391</v>
      </c>
      <c r="E164" s="61"/>
      <c r="F164" s="61"/>
      <c r="G164" s="61"/>
      <c r="H164" s="48" t="s">
        <v>299</v>
      </c>
      <c r="I164" s="13">
        <v>1</v>
      </c>
      <c r="J164" s="13">
        <v>0</v>
      </c>
      <c r="K164" s="13">
        <f t="shared" si="66"/>
        <v>0</v>
      </c>
      <c r="L164" s="13">
        <f t="shared" si="67"/>
        <v>0</v>
      </c>
      <c r="M164" s="13">
        <f t="shared" si="68"/>
        <v>0</v>
      </c>
      <c r="N164" s="13">
        <v>5.112</v>
      </c>
      <c r="O164" s="10" t="s">
        <v>851</v>
      </c>
      <c r="Z164" s="13">
        <f t="shared" si="69"/>
        <v>0</v>
      </c>
      <c r="AB164" s="13">
        <f t="shared" si="70"/>
        <v>0</v>
      </c>
      <c r="AC164" s="13">
        <f t="shared" si="71"/>
        <v>0</v>
      </c>
      <c r="AD164" s="13">
        <f t="shared" si="72"/>
        <v>0</v>
      </c>
      <c r="AE164" s="13">
        <f t="shared" si="73"/>
        <v>0</v>
      </c>
      <c r="AF164" s="13">
        <f t="shared" si="74"/>
        <v>0</v>
      </c>
      <c r="AG164" s="13">
        <f t="shared" si="75"/>
        <v>0</v>
      </c>
      <c r="AH164" s="13">
        <f t="shared" si="76"/>
        <v>0</v>
      </c>
      <c r="AI164" s="21" t="s">
        <v>103</v>
      </c>
      <c r="AJ164" s="13">
        <f t="shared" si="77"/>
        <v>0</v>
      </c>
      <c r="AK164" s="13">
        <f t="shared" si="78"/>
        <v>0</v>
      </c>
      <c r="AL164" s="13">
        <f t="shared" si="79"/>
        <v>0</v>
      </c>
      <c r="AN164" s="13">
        <v>21</v>
      </c>
      <c r="AO164" s="13">
        <f>J164*0.304254118913739</f>
        <v>0</v>
      </c>
      <c r="AP164" s="13">
        <f>J164*(1-0.304254118913739)</f>
        <v>0</v>
      </c>
      <c r="AQ164" s="32" t="s">
        <v>1231</v>
      </c>
      <c r="AV164" s="13">
        <f t="shared" si="80"/>
        <v>0</v>
      </c>
      <c r="AW164" s="13">
        <f t="shared" si="81"/>
        <v>0</v>
      </c>
      <c r="AX164" s="13">
        <f t="shared" si="82"/>
        <v>0</v>
      </c>
      <c r="AY164" s="32" t="s">
        <v>98</v>
      </c>
      <c r="AZ164" s="32" t="s">
        <v>440</v>
      </c>
      <c r="BA164" s="21" t="s">
        <v>854</v>
      </c>
      <c r="BC164" s="13">
        <f t="shared" si="83"/>
        <v>0</v>
      </c>
      <c r="BD164" s="13">
        <f t="shared" si="84"/>
        <v>0</v>
      </c>
      <c r="BE164" s="13">
        <v>0</v>
      </c>
      <c r="BF164" s="13">
        <f>164</f>
        <v>164</v>
      </c>
      <c r="BH164" s="13">
        <f t="shared" si="85"/>
        <v>0</v>
      </c>
      <c r="BI164" s="13">
        <f t="shared" si="86"/>
        <v>0</v>
      </c>
      <c r="BJ164" s="13">
        <f t="shared" si="87"/>
        <v>0</v>
      </c>
      <c r="BK164" s="13"/>
      <c r="BL164" s="13">
        <v>89</v>
      </c>
    </row>
    <row r="165" spans="1:64" ht="15" customHeight="1">
      <c r="A165" s="11" t="s">
        <v>875</v>
      </c>
      <c r="B165" s="48" t="s">
        <v>103</v>
      </c>
      <c r="C165" s="48" t="s">
        <v>605</v>
      </c>
      <c r="D165" s="61" t="s">
        <v>100</v>
      </c>
      <c r="E165" s="61"/>
      <c r="F165" s="61"/>
      <c r="G165" s="61"/>
      <c r="H165" s="48" t="s">
        <v>299</v>
      </c>
      <c r="I165" s="13">
        <v>3</v>
      </c>
      <c r="J165" s="13">
        <v>0</v>
      </c>
      <c r="K165" s="13">
        <f t="shared" si="66"/>
        <v>0</v>
      </c>
      <c r="L165" s="13">
        <f t="shared" si="67"/>
        <v>0</v>
      </c>
      <c r="M165" s="13">
        <f t="shared" si="68"/>
        <v>0</v>
      </c>
      <c r="N165" s="13">
        <v>1.17689</v>
      </c>
      <c r="O165" s="10" t="s">
        <v>851</v>
      </c>
      <c r="Z165" s="13">
        <f t="shared" si="69"/>
        <v>0</v>
      </c>
      <c r="AB165" s="13">
        <f t="shared" si="70"/>
        <v>0</v>
      </c>
      <c r="AC165" s="13">
        <f t="shared" si="71"/>
        <v>0</v>
      </c>
      <c r="AD165" s="13">
        <f t="shared" si="72"/>
        <v>0</v>
      </c>
      <c r="AE165" s="13">
        <f t="shared" si="73"/>
        <v>0</v>
      </c>
      <c r="AF165" s="13">
        <f t="shared" si="74"/>
        <v>0</v>
      </c>
      <c r="AG165" s="13">
        <f t="shared" si="75"/>
        <v>0</v>
      </c>
      <c r="AH165" s="13">
        <f t="shared" si="76"/>
        <v>0</v>
      </c>
      <c r="AI165" s="21" t="s">
        <v>103</v>
      </c>
      <c r="AJ165" s="13">
        <f t="shared" si="77"/>
        <v>0</v>
      </c>
      <c r="AK165" s="13">
        <f t="shared" si="78"/>
        <v>0</v>
      </c>
      <c r="AL165" s="13">
        <f t="shared" si="79"/>
        <v>0</v>
      </c>
      <c r="AN165" s="13">
        <v>21</v>
      </c>
      <c r="AO165" s="13">
        <f>J165*0.447255018587361</f>
        <v>0</v>
      </c>
      <c r="AP165" s="13">
        <f>J165*(1-0.447255018587361)</f>
        <v>0</v>
      </c>
      <c r="AQ165" s="32" t="s">
        <v>1231</v>
      </c>
      <c r="AV165" s="13">
        <f t="shared" si="80"/>
        <v>0</v>
      </c>
      <c r="AW165" s="13">
        <f t="shared" si="81"/>
        <v>0</v>
      </c>
      <c r="AX165" s="13">
        <f t="shared" si="82"/>
        <v>0</v>
      </c>
      <c r="AY165" s="32" t="s">
        <v>98</v>
      </c>
      <c r="AZ165" s="32" t="s">
        <v>440</v>
      </c>
      <c r="BA165" s="21" t="s">
        <v>854</v>
      </c>
      <c r="BC165" s="13">
        <f t="shared" si="83"/>
        <v>0</v>
      </c>
      <c r="BD165" s="13">
        <f t="shared" si="84"/>
        <v>0</v>
      </c>
      <c r="BE165" s="13">
        <v>0</v>
      </c>
      <c r="BF165" s="13">
        <f>165</f>
        <v>165</v>
      </c>
      <c r="BH165" s="13">
        <f t="shared" si="85"/>
        <v>0</v>
      </c>
      <c r="BI165" s="13">
        <f t="shared" si="86"/>
        <v>0</v>
      </c>
      <c r="BJ165" s="13">
        <f t="shared" si="87"/>
        <v>0</v>
      </c>
      <c r="BK165" s="13"/>
      <c r="BL165" s="13">
        <v>89</v>
      </c>
    </row>
    <row r="166" spans="1:64" ht="15" customHeight="1">
      <c r="A166" s="11" t="s">
        <v>1353</v>
      </c>
      <c r="B166" s="48" t="s">
        <v>103</v>
      </c>
      <c r="C166" s="48" t="s">
        <v>367</v>
      </c>
      <c r="D166" s="61" t="s">
        <v>135</v>
      </c>
      <c r="E166" s="61"/>
      <c r="F166" s="61"/>
      <c r="G166" s="61"/>
      <c r="H166" s="48" t="s">
        <v>299</v>
      </c>
      <c r="I166" s="13">
        <v>40</v>
      </c>
      <c r="J166" s="13">
        <v>0</v>
      </c>
      <c r="K166" s="13">
        <f t="shared" si="66"/>
        <v>0</v>
      </c>
      <c r="L166" s="13">
        <f t="shared" si="67"/>
        <v>0</v>
      </c>
      <c r="M166" s="13">
        <f t="shared" si="68"/>
        <v>0</v>
      </c>
      <c r="N166" s="13">
        <v>0.3409</v>
      </c>
      <c r="O166" s="10" t="s">
        <v>851</v>
      </c>
      <c r="Z166" s="13">
        <f t="shared" si="69"/>
        <v>0</v>
      </c>
      <c r="AB166" s="13">
        <f t="shared" si="70"/>
        <v>0</v>
      </c>
      <c r="AC166" s="13">
        <f t="shared" si="71"/>
        <v>0</v>
      </c>
      <c r="AD166" s="13">
        <f t="shared" si="72"/>
        <v>0</v>
      </c>
      <c r="AE166" s="13">
        <f t="shared" si="73"/>
        <v>0</v>
      </c>
      <c r="AF166" s="13">
        <f t="shared" si="74"/>
        <v>0</v>
      </c>
      <c r="AG166" s="13">
        <f t="shared" si="75"/>
        <v>0</v>
      </c>
      <c r="AH166" s="13">
        <f t="shared" si="76"/>
        <v>0</v>
      </c>
      <c r="AI166" s="21" t="s">
        <v>103</v>
      </c>
      <c r="AJ166" s="13">
        <f t="shared" si="77"/>
        <v>0</v>
      </c>
      <c r="AK166" s="13">
        <f t="shared" si="78"/>
        <v>0</v>
      </c>
      <c r="AL166" s="13">
        <f t="shared" si="79"/>
        <v>0</v>
      </c>
      <c r="AN166" s="13">
        <v>21</v>
      </c>
      <c r="AO166" s="13">
        <f>J166*0.0556350710900474</f>
        <v>0</v>
      </c>
      <c r="AP166" s="13">
        <f>J166*(1-0.0556350710900474)</f>
        <v>0</v>
      </c>
      <c r="AQ166" s="32" t="s">
        <v>1231</v>
      </c>
      <c r="AV166" s="13">
        <f t="shared" si="80"/>
        <v>0</v>
      </c>
      <c r="AW166" s="13">
        <f t="shared" si="81"/>
        <v>0</v>
      </c>
      <c r="AX166" s="13">
        <f t="shared" si="82"/>
        <v>0</v>
      </c>
      <c r="AY166" s="32" t="s">
        <v>98</v>
      </c>
      <c r="AZ166" s="32" t="s">
        <v>440</v>
      </c>
      <c r="BA166" s="21" t="s">
        <v>854</v>
      </c>
      <c r="BC166" s="13">
        <f t="shared" si="83"/>
        <v>0</v>
      </c>
      <c r="BD166" s="13">
        <f t="shared" si="84"/>
        <v>0</v>
      </c>
      <c r="BE166" s="13">
        <v>0</v>
      </c>
      <c r="BF166" s="13">
        <f>166</f>
        <v>166</v>
      </c>
      <c r="BH166" s="13">
        <f t="shared" si="85"/>
        <v>0</v>
      </c>
      <c r="BI166" s="13">
        <f t="shared" si="86"/>
        <v>0</v>
      </c>
      <c r="BJ166" s="13">
        <f t="shared" si="87"/>
        <v>0</v>
      </c>
      <c r="BK166" s="13"/>
      <c r="BL166" s="13">
        <v>89</v>
      </c>
    </row>
    <row r="167" spans="1:64" ht="15" customHeight="1">
      <c r="A167" s="11" t="s">
        <v>1262</v>
      </c>
      <c r="B167" s="48" t="s">
        <v>103</v>
      </c>
      <c r="C167" s="48" t="s">
        <v>634</v>
      </c>
      <c r="D167" s="61" t="s">
        <v>1000</v>
      </c>
      <c r="E167" s="61"/>
      <c r="F167" s="61"/>
      <c r="G167" s="61"/>
      <c r="H167" s="48" t="s">
        <v>299</v>
      </c>
      <c r="I167" s="13">
        <v>40</v>
      </c>
      <c r="J167" s="13">
        <v>0</v>
      </c>
      <c r="K167" s="13">
        <f t="shared" si="66"/>
        <v>0</v>
      </c>
      <c r="L167" s="13">
        <f t="shared" si="67"/>
        <v>0</v>
      </c>
      <c r="M167" s="13">
        <f t="shared" si="68"/>
        <v>0</v>
      </c>
      <c r="N167" s="13">
        <v>0.054</v>
      </c>
      <c r="O167" s="10" t="s">
        <v>851</v>
      </c>
      <c r="Z167" s="13">
        <f t="shared" si="69"/>
        <v>0</v>
      </c>
      <c r="AB167" s="13">
        <f t="shared" si="70"/>
        <v>0</v>
      </c>
      <c r="AC167" s="13">
        <f t="shared" si="71"/>
        <v>0</v>
      </c>
      <c r="AD167" s="13">
        <f t="shared" si="72"/>
        <v>0</v>
      </c>
      <c r="AE167" s="13">
        <f t="shared" si="73"/>
        <v>0</v>
      </c>
      <c r="AF167" s="13">
        <f t="shared" si="74"/>
        <v>0</v>
      </c>
      <c r="AG167" s="13">
        <f t="shared" si="75"/>
        <v>0</v>
      </c>
      <c r="AH167" s="13">
        <f t="shared" si="76"/>
        <v>0</v>
      </c>
      <c r="AI167" s="21" t="s">
        <v>103</v>
      </c>
      <c r="AJ167" s="13">
        <f t="shared" si="77"/>
        <v>0</v>
      </c>
      <c r="AK167" s="13">
        <f t="shared" si="78"/>
        <v>0</v>
      </c>
      <c r="AL167" s="13">
        <f t="shared" si="79"/>
        <v>0</v>
      </c>
      <c r="AN167" s="13">
        <v>21</v>
      </c>
      <c r="AO167" s="13">
        <f aca="true" t="shared" si="90" ref="AO167:AO172">J167*1</f>
        <v>0</v>
      </c>
      <c r="AP167" s="13">
        <f aca="true" t="shared" si="91" ref="AP167:AP172">J167*(1-1)</f>
        <v>0</v>
      </c>
      <c r="AQ167" s="32" t="s">
        <v>1231</v>
      </c>
      <c r="AV167" s="13">
        <f t="shared" si="80"/>
        <v>0</v>
      </c>
      <c r="AW167" s="13">
        <f t="shared" si="81"/>
        <v>0</v>
      </c>
      <c r="AX167" s="13">
        <f t="shared" si="82"/>
        <v>0</v>
      </c>
      <c r="AY167" s="32" t="s">
        <v>98</v>
      </c>
      <c r="AZ167" s="32" t="s">
        <v>440</v>
      </c>
      <c r="BA167" s="21" t="s">
        <v>854</v>
      </c>
      <c r="BC167" s="13">
        <f t="shared" si="83"/>
        <v>0</v>
      </c>
      <c r="BD167" s="13">
        <f t="shared" si="84"/>
        <v>0</v>
      </c>
      <c r="BE167" s="13">
        <v>0</v>
      </c>
      <c r="BF167" s="13">
        <f>167</f>
        <v>167</v>
      </c>
      <c r="BH167" s="13">
        <f t="shared" si="85"/>
        <v>0</v>
      </c>
      <c r="BI167" s="13">
        <f t="shared" si="86"/>
        <v>0</v>
      </c>
      <c r="BJ167" s="13">
        <f t="shared" si="87"/>
        <v>0</v>
      </c>
      <c r="BK167" s="13"/>
      <c r="BL167" s="13">
        <v>89</v>
      </c>
    </row>
    <row r="168" spans="1:64" ht="15" customHeight="1">
      <c r="A168" s="11" t="s">
        <v>1188</v>
      </c>
      <c r="B168" s="48" t="s">
        <v>103</v>
      </c>
      <c r="C168" s="48" t="s">
        <v>1067</v>
      </c>
      <c r="D168" s="61" t="s">
        <v>32</v>
      </c>
      <c r="E168" s="61"/>
      <c r="F168" s="61"/>
      <c r="G168" s="61"/>
      <c r="H168" s="48" t="s">
        <v>299</v>
      </c>
      <c r="I168" s="13">
        <v>40</v>
      </c>
      <c r="J168" s="13">
        <v>0</v>
      </c>
      <c r="K168" s="13">
        <f t="shared" si="66"/>
        <v>0</v>
      </c>
      <c r="L168" s="13">
        <f t="shared" si="67"/>
        <v>0</v>
      </c>
      <c r="M168" s="13">
        <f t="shared" si="68"/>
        <v>0</v>
      </c>
      <c r="N168" s="13">
        <v>0.067</v>
      </c>
      <c r="O168" s="10" t="s">
        <v>851</v>
      </c>
      <c r="Z168" s="13">
        <f t="shared" si="69"/>
        <v>0</v>
      </c>
      <c r="AB168" s="13">
        <f t="shared" si="70"/>
        <v>0</v>
      </c>
      <c r="AC168" s="13">
        <f t="shared" si="71"/>
        <v>0</v>
      </c>
      <c r="AD168" s="13">
        <f t="shared" si="72"/>
        <v>0</v>
      </c>
      <c r="AE168" s="13">
        <f t="shared" si="73"/>
        <v>0</v>
      </c>
      <c r="AF168" s="13">
        <f t="shared" si="74"/>
        <v>0</v>
      </c>
      <c r="AG168" s="13">
        <f t="shared" si="75"/>
        <v>0</v>
      </c>
      <c r="AH168" s="13">
        <f t="shared" si="76"/>
        <v>0</v>
      </c>
      <c r="AI168" s="21" t="s">
        <v>103</v>
      </c>
      <c r="AJ168" s="13">
        <f t="shared" si="77"/>
        <v>0</v>
      </c>
      <c r="AK168" s="13">
        <f t="shared" si="78"/>
        <v>0</v>
      </c>
      <c r="AL168" s="13">
        <f t="shared" si="79"/>
        <v>0</v>
      </c>
      <c r="AN168" s="13">
        <v>21</v>
      </c>
      <c r="AO168" s="13">
        <f t="shared" si="90"/>
        <v>0</v>
      </c>
      <c r="AP168" s="13">
        <f t="shared" si="91"/>
        <v>0</v>
      </c>
      <c r="AQ168" s="32" t="s">
        <v>1231</v>
      </c>
      <c r="AV168" s="13">
        <f t="shared" si="80"/>
        <v>0</v>
      </c>
      <c r="AW168" s="13">
        <f t="shared" si="81"/>
        <v>0</v>
      </c>
      <c r="AX168" s="13">
        <f t="shared" si="82"/>
        <v>0</v>
      </c>
      <c r="AY168" s="32" t="s">
        <v>98</v>
      </c>
      <c r="AZ168" s="32" t="s">
        <v>440</v>
      </c>
      <c r="BA168" s="21" t="s">
        <v>854</v>
      </c>
      <c r="BC168" s="13">
        <f t="shared" si="83"/>
        <v>0</v>
      </c>
      <c r="BD168" s="13">
        <f t="shared" si="84"/>
        <v>0</v>
      </c>
      <c r="BE168" s="13">
        <v>0</v>
      </c>
      <c r="BF168" s="13">
        <f>168</f>
        <v>168</v>
      </c>
      <c r="BH168" s="13">
        <f t="shared" si="85"/>
        <v>0</v>
      </c>
      <c r="BI168" s="13">
        <f t="shared" si="86"/>
        <v>0</v>
      </c>
      <c r="BJ168" s="13">
        <f t="shared" si="87"/>
        <v>0</v>
      </c>
      <c r="BK168" s="13"/>
      <c r="BL168" s="13">
        <v>89</v>
      </c>
    </row>
    <row r="169" spans="1:64" ht="15" customHeight="1">
      <c r="A169" s="11" t="s">
        <v>639</v>
      </c>
      <c r="B169" s="48" t="s">
        <v>103</v>
      </c>
      <c r="C169" s="48" t="s">
        <v>1051</v>
      </c>
      <c r="D169" s="61" t="s">
        <v>625</v>
      </c>
      <c r="E169" s="61"/>
      <c r="F169" s="61"/>
      <c r="G169" s="61"/>
      <c r="H169" s="48" t="s">
        <v>299</v>
      </c>
      <c r="I169" s="13">
        <v>40</v>
      </c>
      <c r="J169" s="13">
        <v>0</v>
      </c>
      <c r="K169" s="13">
        <f t="shared" si="66"/>
        <v>0</v>
      </c>
      <c r="L169" s="13">
        <f t="shared" si="67"/>
        <v>0</v>
      </c>
      <c r="M169" s="13">
        <f t="shared" si="68"/>
        <v>0</v>
      </c>
      <c r="N169" s="13">
        <v>0.298</v>
      </c>
      <c r="O169" s="10" t="s">
        <v>851</v>
      </c>
      <c r="Z169" s="13">
        <f t="shared" si="69"/>
        <v>0</v>
      </c>
      <c r="AB169" s="13">
        <f t="shared" si="70"/>
        <v>0</v>
      </c>
      <c r="AC169" s="13">
        <f t="shared" si="71"/>
        <v>0</v>
      </c>
      <c r="AD169" s="13">
        <f t="shared" si="72"/>
        <v>0</v>
      </c>
      <c r="AE169" s="13">
        <f t="shared" si="73"/>
        <v>0</v>
      </c>
      <c r="AF169" s="13">
        <f t="shared" si="74"/>
        <v>0</v>
      </c>
      <c r="AG169" s="13">
        <f t="shared" si="75"/>
        <v>0</v>
      </c>
      <c r="AH169" s="13">
        <f t="shared" si="76"/>
        <v>0</v>
      </c>
      <c r="AI169" s="21" t="s">
        <v>103</v>
      </c>
      <c r="AJ169" s="13">
        <f t="shared" si="77"/>
        <v>0</v>
      </c>
      <c r="AK169" s="13">
        <f t="shared" si="78"/>
        <v>0</v>
      </c>
      <c r="AL169" s="13">
        <f t="shared" si="79"/>
        <v>0</v>
      </c>
      <c r="AN169" s="13">
        <v>21</v>
      </c>
      <c r="AO169" s="13">
        <f t="shared" si="90"/>
        <v>0</v>
      </c>
      <c r="AP169" s="13">
        <f t="shared" si="91"/>
        <v>0</v>
      </c>
      <c r="AQ169" s="32" t="s">
        <v>1231</v>
      </c>
      <c r="AV169" s="13">
        <f t="shared" si="80"/>
        <v>0</v>
      </c>
      <c r="AW169" s="13">
        <f t="shared" si="81"/>
        <v>0</v>
      </c>
      <c r="AX169" s="13">
        <f t="shared" si="82"/>
        <v>0</v>
      </c>
      <c r="AY169" s="32" t="s">
        <v>98</v>
      </c>
      <c r="AZ169" s="32" t="s">
        <v>440</v>
      </c>
      <c r="BA169" s="21" t="s">
        <v>854</v>
      </c>
      <c r="BC169" s="13">
        <f t="shared" si="83"/>
        <v>0</v>
      </c>
      <c r="BD169" s="13">
        <f t="shared" si="84"/>
        <v>0</v>
      </c>
      <c r="BE169" s="13">
        <v>0</v>
      </c>
      <c r="BF169" s="13">
        <f>169</f>
        <v>169</v>
      </c>
      <c r="BH169" s="13">
        <f t="shared" si="85"/>
        <v>0</v>
      </c>
      <c r="BI169" s="13">
        <f t="shared" si="86"/>
        <v>0</v>
      </c>
      <c r="BJ169" s="13">
        <f t="shared" si="87"/>
        <v>0</v>
      </c>
      <c r="BK169" s="13"/>
      <c r="BL169" s="13">
        <v>89</v>
      </c>
    </row>
    <row r="170" spans="1:64" ht="15" customHeight="1">
      <c r="A170" s="11" t="s">
        <v>557</v>
      </c>
      <c r="B170" s="48" t="s">
        <v>103</v>
      </c>
      <c r="C170" s="48" t="s">
        <v>945</v>
      </c>
      <c r="D170" s="61" t="s">
        <v>970</v>
      </c>
      <c r="E170" s="61"/>
      <c r="F170" s="61"/>
      <c r="G170" s="61"/>
      <c r="H170" s="48" t="s">
        <v>299</v>
      </c>
      <c r="I170" s="13">
        <v>40</v>
      </c>
      <c r="J170" s="13">
        <v>0</v>
      </c>
      <c r="K170" s="13">
        <f t="shared" si="66"/>
        <v>0</v>
      </c>
      <c r="L170" s="13">
        <f t="shared" si="67"/>
        <v>0</v>
      </c>
      <c r="M170" s="13">
        <f t="shared" si="68"/>
        <v>0</v>
      </c>
      <c r="N170" s="13">
        <v>0.112</v>
      </c>
      <c r="O170" s="10" t="s">
        <v>851</v>
      </c>
      <c r="Z170" s="13">
        <f t="shared" si="69"/>
        <v>0</v>
      </c>
      <c r="AB170" s="13">
        <f t="shared" si="70"/>
        <v>0</v>
      </c>
      <c r="AC170" s="13">
        <f t="shared" si="71"/>
        <v>0</v>
      </c>
      <c r="AD170" s="13">
        <f t="shared" si="72"/>
        <v>0</v>
      </c>
      <c r="AE170" s="13">
        <f t="shared" si="73"/>
        <v>0</v>
      </c>
      <c r="AF170" s="13">
        <f t="shared" si="74"/>
        <v>0</v>
      </c>
      <c r="AG170" s="13">
        <f t="shared" si="75"/>
        <v>0</v>
      </c>
      <c r="AH170" s="13">
        <f t="shared" si="76"/>
        <v>0</v>
      </c>
      <c r="AI170" s="21" t="s">
        <v>103</v>
      </c>
      <c r="AJ170" s="13">
        <f t="shared" si="77"/>
        <v>0</v>
      </c>
      <c r="AK170" s="13">
        <f t="shared" si="78"/>
        <v>0</v>
      </c>
      <c r="AL170" s="13">
        <f t="shared" si="79"/>
        <v>0</v>
      </c>
      <c r="AN170" s="13">
        <v>21</v>
      </c>
      <c r="AO170" s="13">
        <f t="shared" si="90"/>
        <v>0</v>
      </c>
      <c r="AP170" s="13">
        <f t="shared" si="91"/>
        <v>0</v>
      </c>
      <c r="AQ170" s="32" t="s">
        <v>1231</v>
      </c>
      <c r="AV170" s="13">
        <f t="shared" si="80"/>
        <v>0</v>
      </c>
      <c r="AW170" s="13">
        <f t="shared" si="81"/>
        <v>0</v>
      </c>
      <c r="AX170" s="13">
        <f t="shared" si="82"/>
        <v>0</v>
      </c>
      <c r="AY170" s="32" t="s">
        <v>98</v>
      </c>
      <c r="AZ170" s="32" t="s">
        <v>440</v>
      </c>
      <c r="BA170" s="21" t="s">
        <v>854</v>
      </c>
      <c r="BC170" s="13">
        <f t="shared" si="83"/>
        <v>0</v>
      </c>
      <c r="BD170" s="13">
        <f t="shared" si="84"/>
        <v>0</v>
      </c>
      <c r="BE170" s="13">
        <v>0</v>
      </c>
      <c r="BF170" s="13">
        <f>170</f>
        <v>170</v>
      </c>
      <c r="BH170" s="13">
        <f t="shared" si="85"/>
        <v>0</v>
      </c>
      <c r="BI170" s="13">
        <f t="shared" si="86"/>
        <v>0</v>
      </c>
      <c r="BJ170" s="13">
        <f t="shared" si="87"/>
        <v>0</v>
      </c>
      <c r="BK170" s="13"/>
      <c r="BL170" s="13">
        <v>89</v>
      </c>
    </row>
    <row r="171" spans="1:64" ht="15" customHeight="1">
      <c r="A171" s="11" t="s">
        <v>501</v>
      </c>
      <c r="B171" s="48" t="s">
        <v>103</v>
      </c>
      <c r="C171" s="48" t="s">
        <v>134</v>
      </c>
      <c r="D171" s="61" t="s">
        <v>678</v>
      </c>
      <c r="E171" s="61"/>
      <c r="F171" s="61"/>
      <c r="G171" s="61"/>
      <c r="H171" s="48" t="s">
        <v>299</v>
      </c>
      <c r="I171" s="13">
        <v>40</v>
      </c>
      <c r="J171" s="13">
        <v>0</v>
      </c>
      <c r="K171" s="13">
        <f t="shared" si="66"/>
        <v>0</v>
      </c>
      <c r="L171" s="13">
        <f t="shared" si="67"/>
        <v>0</v>
      </c>
      <c r="M171" s="13">
        <f t="shared" si="68"/>
        <v>0</v>
      </c>
      <c r="N171" s="13">
        <v>0.014</v>
      </c>
      <c r="O171" s="10" t="s">
        <v>851</v>
      </c>
      <c r="Z171" s="13">
        <f t="shared" si="69"/>
        <v>0</v>
      </c>
      <c r="AB171" s="13">
        <f t="shared" si="70"/>
        <v>0</v>
      </c>
      <c r="AC171" s="13">
        <f t="shared" si="71"/>
        <v>0</v>
      </c>
      <c r="AD171" s="13">
        <f t="shared" si="72"/>
        <v>0</v>
      </c>
      <c r="AE171" s="13">
        <f t="shared" si="73"/>
        <v>0</v>
      </c>
      <c r="AF171" s="13">
        <f t="shared" si="74"/>
        <v>0</v>
      </c>
      <c r="AG171" s="13">
        <f t="shared" si="75"/>
        <v>0</v>
      </c>
      <c r="AH171" s="13">
        <f t="shared" si="76"/>
        <v>0</v>
      </c>
      <c r="AI171" s="21" t="s">
        <v>103</v>
      </c>
      <c r="AJ171" s="13">
        <f t="shared" si="77"/>
        <v>0</v>
      </c>
      <c r="AK171" s="13">
        <f t="shared" si="78"/>
        <v>0</v>
      </c>
      <c r="AL171" s="13">
        <f t="shared" si="79"/>
        <v>0</v>
      </c>
      <c r="AN171" s="13">
        <v>21</v>
      </c>
      <c r="AO171" s="13">
        <f t="shared" si="90"/>
        <v>0</v>
      </c>
      <c r="AP171" s="13">
        <f t="shared" si="91"/>
        <v>0</v>
      </c>
      <c r="AQ171" s="32" t="s">
        <v>1231</v>
      </c>
      <c r="AV171" s="13">
        <f t="shared" si="80"/>
        <v>0</v>
      </c>
      <c r="AW171" s="13">
        <f t="shared" si="81"/>
        <v>0</v>
      </c>
      <c r="AX171" s="13">
        <f t="shared" si="82"/>
        <v>0</v>
      </c>
      <c r="AY171" s="32" t="s">
        <v>98</v>
      </c>
      <c r="AZ171" s="32" t="s">
        <v>440</v>
      </c>
      <c r="BA171" s="21" t="s">
        <v>854</v>
      </c>
      <c r="BC171" s="13">
        <f t="shared" si="83"/>
        <v>0</v>
      </c>
      <c r="BD171" s="13">
        <f t="shared" si="84"/>
        <v>0</v>
      </c>
      <c r="BE171" s="13">
        <v>0</v>
      </c>
      <c r="BF171" s="13">
        <f>171</f>
        <v>171</v>
      </c>
      <c r="BH171" s="13">
        <f t="shared" si="85"/>
        <v>0</v>
      </c>
      <c r="BI171" s="13">
        <f t="shared" si="86"/>
        <v>0</v>
      </c>
      <c r="BJ171" s="13">
        <f t="shared" si="87"/>
        <v>0</v>
      </c>
      <c r="BK171" s="13"/>
      <c r="BL171" s="13">
        <v>89</v>
      </c>
    </row>
    <row r="172" spans="1:64" ht="15" customHeight="1">
      <c r="A172" s="11" t="s">
        <v>213</v>
      </c>
      <c r="B172" s="48" t="s">
        <v>103</v>
      </c>
      <c r="C172" s="48" t="s">
        <v>1137</v>
      </c>
      <c r="D172" s="61" t="s">
        <v>929</v>
      </c>
      <c r="E172" s="61"/>
      <c r="F172" s="61"/>
      <c r="G172" s="61"/>
      <c r="H172" s="48" t="s">
        <v>299</v>
      </c>
      <c r="I172" s="13">
        <v>40</v>
      </c>
      <c r="J172" s="13">
        <v>0</v>
      </c>
      <c r="K172" s="13">
        <f t="shared" si="66"/>
        <v>0</v>
      </c>
      <c r="L172" s="13">
        <f t="shared" si="67"/>
        <v>0</v>
      </c>
      <c r="M172" s="13">
        <f t="shared" si="68"/>
        <v>0</v>
      </c>
      <c r="N172" s="13">
        <v>0.0085</v>
      </c>
      <c r="O172" s="10" t="s">
        <v>851</v>
      </c>
      <c r="Z172" s="13">
        <f t="shared" si="69"/>
        <v>0</v>
      </c>
      <c r="AB172" s="13">
        <f t="shared" si="70"/>
        <v>0</v>
      </c>
      <c r="AC172" s="13">
        <f t="shared" si="71"/>
        <v>0</v>
      </c>
      <c r="AD172" s="13">
        <f t="shared" si="72"/>
        <v>0</v>
      </c>
      <c r="AE172" s="13">
        <f t="shared" si="73"/>
        <v>0</v>
      </c>
      <c r="AF172" s="13">
        <f t="shared" si="74"/>
        <v>0</v>
      </c>
      <c r="AG172" s="13">
        <f t="shared" si="75"/>
        <v>0</v>
      </c>
      <c r="AH172" s="13">
        <f t="shared" si="76"/>
        <v>0</v>
      </c>
      <c r="AI172" s="21" t="s">
        <v>103</v>
      </c>
      <c r="AJ172" s="13">
        <f t="shared" si="77"/>
        <v>0</v>
      </c>
      <c r="AK172" s="13">
        <f t="shared" si="78"/>
        <v>0</v>
      </c>
      <c r="AL172" s="13">
        <f t="shared" si="79"/>
        <v>0</v>
      </c>
      <c r="AN172" s="13">
        <v>21</v>
      </c>
      <c r="AO172" s="13">
        <f t="shared" si="90"/>
        <v>0</v>
      </c>
      <c r="AP172" s="13">
        <f t="shared" si="91"/>
        <v>0</v>
      </c>
      <c r="AQ172" s="32" t="s">
        <v>1231</v>
      </c>
      <c r="AV172" s="13">
        <f t="shared" si="80"/>
        <v>0</v>
      </c>
      <c r="AW172" s="13">
        <f t="shared" si="81"/>
        <v>0</v>
      </c>
      <c r="AX172" s="13">
        <f t="shared" si="82"/>
        <v>0</v>
      </c>
      <c r="AY172" s="32" t="s">
        <v>98</v>
      </c>
      <c r="AZ172" s="32" t="s">
        <v>440</v>
      </c>
      <c r="BA172" s="21" t="s">
        <v>854</v>
      </c>
      <c r="BC172" s="13">
        <f t="shared" si="83"/>
        <v>0</v>
      </c>
      <c r="BD172" s="13">
        <f t="shared" si="84"/>
        <v>0</v>
      </c>
      <c r="BE172" s="13">
        <v>0</v>
      </c>
      <c r="BF172" s="13">
        <f>172</f>
        <v>172</v>
      </c>
      <c r="BH172" s="13">
        <f t="shared" si="85"/>
        <v>0</v>
      </c>
      <c r="BI172" s="13">
        <f t="shared" si="86"/>
        <v>0</v>
      </c>
      <c r="BJ172" s="13">
        <f t="shared" si="87"/>
        <v>0</v>
      </c>
      <c r="BK172" s="13"/>
      <c r="BL172" s="13">
        <v>89</v>
      </c>
    </row>
    <row r="173" spans="1:64" ht="15" customHeight="1">
      <c r="A173" s="11" t="s">
        <v>271</v>
      </c>
      <c r="B173" s="48" t="s">
        <v>103</v>
      </c>
      <c r="C173" s="48" t="s">
        <v>390</v>
      </c>
      <c r="D173" s="61" t="s">
        <v>864</v>
      </c>
      <c r="E173" s="61"/>
      <c r="F173" s="61"/>
      <c r="G173" s="61"/>
      <c r="H173" s="48" t="s">
        <v>299</v>
      </c>
      <c r="I173" s="13">
        <v>40</v>
      </c>
      <c r="J173" s="13">
        <v>0</v>
      </c>
      <c r="K173" s="13">
        <f t="shared" si="66"/>
        <v>0</v>
      </c>
      <c r="L173" s="13">
        <f t="shared" si="67"/>
        <v>0</v>
      </c>
      <c r="M173" s="13">
        <f t="shared" si="68"/>
        <v>0</v>
      </c>
      <c r="N173" s="13">
        <v>0.00936</v>
      </c>
      <c r="O173" s="10" t="s">
        <v>851</v>
      </c>
      <c r="Z173" s="13">
        <f t="shared" si="69"/>
        <v>0</v>
      </c>
      <c r="AB173" s="13">
        <f t="shared" si="70"/>
        <v>0</v>
      </c>
      <c r="AC173" s="13">
        <f t="shared" si="71"/>
        <v>0</v>
      </c>
      <c r="AD173" s="13">
        <f t="shared" si="72"/>
        <v>0</v>
      </c>
      <c r="AE173" s="13">
        <f t="shared" si="73"/>
        <v>0</v>
      </c>
      <c r="AF173" s="13">
        <f t="shared" si="74"/>
        <v>0</v>
      </c>
      <c r="AG173" s="13">
        <f t="shared" si="75"/>
        <v>0</v>
      </c>
      <c r="AH173" s="13">
        <f t="shared" si="76"/>
        <v>0</v>
      </c>
      <c r="AI173" s="21" t="s">
        <v>103</v>
      </c>
      <c r="AJ173" s="13">
        <f t="shared" si="77"/>
        <v>0</v>
      </c>
      <c r="AK173" s="13">
        <f t="shared" si="78"/>
        <v>0</v>
      </c>
      <c r="AL173" s="13">
        <f t="shared" si="79"/>
        <v>0</v>
      </c>
      <c r="AN173" s="13">
        <v>21</v>
      </c>
      <c r="AO173" s="13">
        <f>J173*0.0120971074380165</f>
        <v>0</v>
      </c>
      <c r="AP173" s="13">
        <f>J173*(1-0.0120971074380165)</f>
        <v>0</v>
      </c>
      <c r="AQ173" s="32" t="s">
        <v>1231</v>
      </c>
      <c r="AV173" s="13">
        <f t="shared" si="80"/>
        <v>0</v>
      </c>
      <c r="AW173" s="13">
        <f t="shared" si="81"/>
        <v>0</v>
      </c>
      <c r="AX173" s="13">
        <f t="shared" si="82"/>
        <v>0</v>
      </c>
      <c r="AY173" s="32" t="s">
        <v>98</v>
      </c>
      <c r="AZ173" s="32" t="s">
        <v>440</v>
      </c>
      <c r="BA173" s="21" t="s">
        <v>854</v>
      </c>
      <c r="BC173" s="13">
        <f t="shared" si="83"/>
        <v>0</v>
      </c>
      <c r="BD173" s="13">
        <f t="shared" si="84"/>
        <v>0</v>
      </c>
      <c r="BE173" s="13">
        <v>0</v>
      </c>
      <c r="BF173" s="13">
        <f>173</f>
        <v>173</v>
      </c>
      <c r="BH173" s="13">
        <f t="shared" si="85"/>
        <v>0</v>
      </c>
      <c r="BI173" s="13">
        <f t="shared" si="86"/>
        <v>0</v>
      </c>
      <c r="BJ173" s="13">
        <f t="shared" si="87"/>
        <v>0</v>
      </c>
      <c r="BK173" s="13"/>
      <c r="BL173" s="13">
        <v>89</v>
      </c>
    </row>
    <row r="174" spans="1:64" ht="15" customHeight="1">
      <c r="A174" s="11" t="s">
        <v>144</v>
      </c>
      <c r="B174" s="48" t="s">
        <v>103</v>
      </c>
      <c r="C174" s="48" t="s">
        <v>1158</v>
      </c>
      <c r="D174" s="61" t="s">
        <v>512</v>
      </c>
      <c r="E174" s="61"/>
      <c r="F174" s="61"/>
      <c r="G174" s="61"/>
      <c r="H174" s="48" t="s">
        <v>299</v>
      </c>
      <c r="I174" s="13">
        <v>40</v>
      </c>
      <c r="J174" s="13">
        <v>0</v>
      </c>
      <c r="K174" s="13">
        <f t="shared" si="66"/>
        <v>0</v>
      </c>
      <c r="L174" s="13">
        <f t="shared" si="67"/>
        <v>0</v>
      </c>
      <c r="M174" s="13">
        <f t="shared" si="68"/>
        <v>0</v>
      </c>
      <c r="N174" s="13">
        <v>0.07</v>
      </c>
      <c r="O174" s="10" t="s">
        <v>851</v>
      </c>
      <c r="Z174" s="13">
        <f t="shared" si="69"/>
        <v>0</v>
      </c>
      <c r="AB174" s="13">
        <f t="shared" si="70"/>
        <v>0</v>
      </c>
      <c r="AC174" s="13">
        <f t="shared" si="71"/>
        <v>0</v>
      </c>
      <c r="AD174" s="13">
        <f t="shared" si="72"/>
        <v>0</v>
      </c>
      <c r="AE174" s="13">
        <f t="shared" si="73"/>
        <v>0</v>
      </c>
      <c r="AF174" s="13">
        <f t="shared" si="74"/>
        <v>0</v>
      </c>
      <c r="AG174" s="13">
        <f t="shared" si="75"/>
        <v>0</v>
      </c>
      <c r="AH174" s="13">
        <f t="shared" si="76"/>
        <v>0</v>
      </c>
      <c r="AI174" s="21" t="s">
        <v>103</v>
      </c>
      <c r="AJ174" s="13">
        <f t="shared" si="77"/>
        <v>0</v>
      </c>
      <c r="AK174" s="13">
        <f t="shared" si="78"/>
        <v>0</v>
      </c>
      <c r="AL174" s="13">
        <f t="shared" si="79"/>
        <v>0</v>
      </c>
      <c r="AN174" s="13">
        <v>21</v>
      </c>
      <c r="AO174" s="13">
        <f>J174*1</f>
        <v>0</v>
      </c>
      <c r="AP174" s="13">
        <f>J174*(1-1)</f>
        <v>0</v>
      </c>
      <c r="AQ174" s="32" t="s">
        <v>1231</v>
      </c>
      <c r="AV174" s="13">
        <f t="shared" si="80"/>
        <v>0</v>
      </c>
      <c r="AW174" s="13">
        <f t="shared" si="81"/>
        <v>0</v>
      </c>
      <c r="AX174" s="13">
        <f t="shared" si="82"/>
        <v>0</v>
      </c>
      <c r="AY174" s="32" t="s">
        <v>98</v>
      </c>
      <c r="AZ174" s="32" t="s">
        <v>440</v>
      </c>
      <c r="BA174" s="21" t="s">
        <v>854</v>
      </c>
      <c r="BC174" s="13">
        <f t="shared" si="83"/>
        <v>0</v>
      </c>
      <c r="BD174" s="13">
        <f t="shared" si="84"/>
        <v>0</v>
      </c>
      <c r="BE174" s="13">
        <v>0</v>
      </c>
      <c r="BF174" s="13">
        <f>174</f>
        <v>174</v>
      </c>
      <c r="BH174" s="13">
        <f t="shared" si="85"/>
        <v>0</v>
      </c>
      <c r="BI174" s="13">
        <f t="shared" si="86"/>
        <v>0</v>
      </c>
      <c r="BJ174" s="13">
        <f t="shared" si="87"/>
        <v>0</v>
      </c>
      <c r="BK174" s="13"/>
      <c r="BL174" s="13">
        <v>89</v>
      </c>
    </row>
    <row r="175" spans="1:64" ht="15" customHeight="1">
      <c r="A175" s="11" t="s">
        <v>174</v>
      </c>
      <c r="B175" s="48" t="s">
        <v>103</v>
      </c>
      <c r="C175" s="48" t="s">
        <v>556</v>
      </c>
      <c r="D175" s="61" t="s">
        <v>750</v>
      </c>
      <c r="E175" s="61"/>
      <c r="F175" s="61"/>
      <c r="G175" s="61"/>
      <c r="H175" s="48" t="s">
        <v>299</v>
      </c>
      <c r="I175" s="13">
        <v>1</v>
      </c>
      <c r="J175" s="13">
        <v>0</v>
      </c>
      <c r="K175" s="13">
        <f t="shared" si="66"/>
        <v>0</v>
      </c>
      <c r="L175" s="13">
        <f t="shared" si="67"/>
        <v>0</v>
      </c>
      <c r="M175" s="13">
        <f t="shared" si="68"/>
        <v>0</v>
      </c>
      <c r="N175" s="13">
        <v>0</v>
      </c>
      <c r="O175" s="10" t="s">
        <v>851</v>
      </c>
      <c r="Z175" s="13">
        <f t="shared" si="69"/>
        <v>0</v>
      </c>
      <c r="AB175" s="13">
        <f t="shared" si="70"/>
        <v>0</v>
      </c>
      <c r="AC175" s="13">
        <f t="shared" si="71"/>
        <v>0</v>
      </c>
      <c r="AD175" s="13">
        <f t="shared" si="72"/>
        <v>0</v>
      </c>
      <c r="AE175" s="13">
        <f t="shared" si="73"/>
        <v>0</v>
      </c>
      <c r="AF175" s="13">
        <f t="shared" si="74"/>
        <v>0</v>
      </c>
      <c r="AG175" s="13">
        <f t="shared" si="75"/>
        <v>0</v>
      </c>
      <c r="AH175" s="13">
        <f t="shared" si="76"/>
        <v>0</v>
      </c>
      <c r="AI175" s="21" t="s">
        <v>103</v>
      </c>
      <c r="AJ175" s="13">
        <f t="shared" si="77"/>
        <v>0</v>
      </c>
      <c r="AK175" s="13">
        <f t="shared" si="78"/>
        <v>0</v>
      </c>
      <c r="AL175" s="13">
        <f t="shared" si="79"/>
        <v>0</v>
      </c>
      <c r="AN175" s="13">
        <v>21</v>
      </c>
      <c r="AO175" s="13">
        <f>J175*0</f>
        <v>0</v>
      </c>
      <c r="AP175" s="13">
        <f>J175*(1-0)</f>
        <v>0</v>
      </c>
      <c r="AQ175" s="32" t="s">
        <v>1231</v>
      </c>
      <c r="AV175" s="13">
        <f t="shared" si="80"/>
        <v>0</v>
      </c>
      <c r="AW175" s="13">
        <f t="shared" si="81"/>
        <v>0</v>
      </c>
      <c r="AX175" s="13">
        <f t="shared" si="82"/>
        <v>0</v>
      </c>
      <c r="AY175" s="32" t="s">
        <v>98</v>
      </c>
      <c r="AZ175" s="32" t="s">
        <v>440</v>
      </c>
      <c r="BA175" s="21" t="s">
        <v>854</v>
      </c>
      <c r="BC175" s="13">
        <f t="shared" si="83"/>
        <v>0</v>
      </c>
      <c r="BD175" s="13">
        <f t="shared" si="84"/>
        <v>0</v>
      </c>
      <c r="BE175" s="13">
        <v>0</v>
      </c>
      <c r="BF175" s="13">
        <f>175</f>
        <v>175</v>
      </c>
      <c r="BH175" s="13">
        <f t="shared" si="85"/>
        <v>0</v>
      </c>
      <c r="BI175" s="13">
        <f t="shared" si="86"/>
        <v>0</v>
      </c>
      <c r="BJ175" s="13">
        <f t="shared" si="87"/>
        <v>0</v>
      </c>
      <c r="BK175" s="13"/>
      <c r="BL175" s="13">
        <v>89</v>
      </c>
    </row>
    <row r="176" spans="1:64" ht="15" customHeight="1">
      <c r="A176" s="11" t="s">
        <v>1163</v>
      </c>
      <c r="B176" s="48" t="s">
        <v>103</v>
      </c>
      <c r="C176" s="48" t="s">
        <v>1339</v>
      </c>
      <c r="D176" s="61" t="s">
        <v>507</v>
      </c>
      <c r="E176" s="61"/>
      <c r="F176" s="61"/>
      <c r="G176" s="61"/>
      <c r="H176" s="48" t="s">
        <v>299</v>
      </c>
      <c r="I176" s="13">
        <v>1</v>
      </c>
      <c r="J176" s="13">
        <v>0</v>
      </c>
      <c r="K176" s="13">
        <f t="shared" si="66"/>
        <v>0</v>
      </c>
      <c r="L176" s="13">
        <f t="shared" si="67"/>
        <v>0</v>
      </c>
      <c r="M176" s="13">
        <f t="shared" si="68"/>
        <v>0</v>
      </c>
      <c r="N176" s="13">
        <v>3.95</v>
      </c>
      <c r="O176" s="10" t="s">
        <v>851</v>
      </c>
      <c r="Z176" s="13">
        <f t="shared" si="69"/>
        <v>0</v>
      </c>
      <c r="AB176" s="13">
        <f t="shared" si="70"/>
        <v>0</v>
      </c>
      <c r="AC176" s="13">
        <f t="shared" si="71"/>
        <v>0</v>
      </c>
      <c r="AD176" s="13">
        <f t="shared" si="72"/>
        <v>0</v>
      </c>
      <c r="AE176" s="13">
        <f t="shared" si="73"/>
        <v>0</v>
      </c>
      <c r="AF176" s="13">
        <f t="shared" si="74"/>
        <v>0</v>
      </c>
      <c r="AG176" s="13">
        <f t="shared" si="75"/>
        <v>0</v>
      </c>
      <c r="AH176" s="13">
        <f t="shared" si="76"/>
        <v>0</v>
      </c>
      <c r="AI176" s="21" t="s">
        <v>103</v>
      </c>
      <c r="AJ176" s="13">
        <f t="shared" si="77"/>
        <v>0</v>
      </c>
      <c r="AK176" s="13">
        <f t="shared" si="78"/>
        <v>0</v>
      </c>
      <c r="AL176" s="13">
        <f t="shared" si="79"/>
        <v>0</v>
      </c>
      <c r="AN176" s="13">
        <v>21</v>
      </c>
      <c r="AO176" s="13">
        <f>J176*1</f>
        <v>0</v>
      </c>
      <c r="AP176" s="13">
        <f>J176*(1-1)</f>
        <v>0</v>
      </c>
      <c r="AQ176" s="32" t="s">
        <v>1231</v>
      </c>
      <c r="AV176" s="13">
        <f t="shared" si="80"/>
        <v>0</v>
      </c>
      <c r="AW176" s="13">
        <f t="shared" si="81"/>
        <v>0</v>
      </c>
      <c r="AX176" s="13">
        <f t="shared" si="82"/>
        <v>0</v>
      </c>
      <c r="AY176" s="32" t="s">
        <v>98</v>
      </c>
      <c r="AZ176" s="32" t="s">
        <v>440</v>
      </c>
      <c r="BA176" s="21" t="s">
        <v>854</v>
      </c>
      <c r="BC176" s="13">
        <f t="shared" si="83"/>
        <v>0</v>
      </c>
      <c r="BD176" s="13">
        <f t="shared" si="84"/>
        <v>0</v>
      </c>
      <c r="BE176" s="13">
        <v>0</v>
      </c>
      <c r="BF176" s="13">
        <f>176</f>
        <v>176</v>
      </c>
      <c r="BH176" s="13">
        <f t="shared" si="85"/>
        <v>0</v>
      </c>
      <c r="BI176" s="13">
        <f t="shared" si="86"/>
        <v>0</v>
      </c>
      <c r="BJ176" s="13">
        <f t="shared" si="87"/>
        <v>0</v>
      </c>
      <c r="BK176" s="13"/>
      <c r="BL176" s="13">
        <v>89</v>
      </c>
    </row>
    <row r="177" spans="1:64" ht="15" customHeight="1">
      <c r="A177" s="11" t="s">
        <v>910</v>
      </c>
      <c r="B177" s="48" t="s">
        <v>103</v>
      </c>
      <c r="C177" s="48" t="s">
        <v>16</v>
      </c>
      <c r="D177" s="61" t="s">
        <v>767</v>
      </c>
      <c r="E177" s="61"/>
      <c r="F177" s="61"/>
      <c r="G177" s="61"/>
      <c r="H177" s="48" t="s">
        <v>299</v>
      </c>
      <c r="I177" s="13">
        <v>3</v>
      </c>
      <c r="J177" s="13">
        <v>0</v>
      </c>
      <c r="K177" s="13">
        <f t="shared" si="66"/>
        <v>0</v>
      </c>
      <c r="L177" s="13">
        <f t="shared" si="67"/>
        <v>0</v>
      </c>
      <c r="M177" s="13">
        <f t="shared" si="68"/>
        <v>0</v>
      </c>
      <c r="N177" s="13">
        <v>0.0132</v>
      </c>
      <c r="O177" s="10" t="s">
        <v>851</v>
      </c>
      <c r="Z177" s="13">
        <f t="shared" si="69"/>
        <v>0</v>
      </c>
      <c r="AB177" s="13">
        <f t="shared" si="70"/>
        <v>0</v>
      </c>
      <c r="AC177" s="13">
        <f t="shared" si="71"/>
        <v>0</v>
      </c>
      <c r="AD177" s="13">
        <f t="shared" si="72"/>
        <v>0</v>
      </c>
      <c r="AE177" s="13">
        <f t="shared" si="73"/>
        <v>0</v>
      </c>
      <c r="AF177" s="13">
        <f t="shared" si="74"/>
        <v>0</v>
      </c>
      <c r="AG177" s="13">
        <f t="shared" si="75"/>
        <v>0</v>
      </c>
      <c r="AH177" s="13">
        <f t="shared" si="76"/>
        <v>0</v>
      </c>
      <c r="AI177" s="21" t="s">
        <v>103</v>
      </c>
      <c r="AJ177" s="13">
        <f t="shared" si="77"/>
        <v>0</v>
      </c>
      <c r="AK177" s="13">
        <f t="shared" si="78"/>
        <v>0</v>
      </c>
      <c r="AL177" s="13">
        <f t="shared" si="79"/>
        <v>0</v>
      </c>
      <c r="AN177" s="13">
        <v>21</v>
      </c>
      <c r="AO177" s="13">
        <f>J177*0.283358942464818</f>
        <v>0</v>
      </c>
      <c r="AP177" s="13">
        <f>J177*(1-0.283358942464818)</f>
        <v>0</v>
      </c>
      <c r="AQ177" s="32" t="s">
        <v>1231</v>
      </c>
      <c r="AV177" s="13">
        <f t="shared" si="80"/>
        <v>0</v>
      </c>
      <c r="AW177" s="13">
        <f t="shared" si="81"/>
        <v>0</v>
      </c>
      <c r="AX177" s="13">
        <f t="shared" si="82"/>
        <v>0</v>
      </c>
      <c r="AY177" s="32" t="s">
        <v>98</v>
      </c>
      <c r="AZ177" s="32" t="s">
        <v>440</v>
      </c>
      <c r="BA177" s="21" t="s">
        <v>854</v>
      </c>
      <c r="BC177" s="13">
        <f t="shared" si="83"/>
        <v>0</v>
      </c>
      <c r="BD177" s="13">
        <f t="shared" si="84"/>
        <v>0</v>
      </c>
      <c r="BE177" s="13">
        <v>0</v>
      </c>
      <c r="BF177" s="13">
        <f>177</f>
        <v>177</v>
      </c>
      <c r="BH177" s="13">
        <f t="shared" si="85"/>
        <v>0</v>
      </c>
      <c r="BI177" s="13">
        <f t="shared" si="86"/>
        <v>0</v>
      </c>
      <c r="BJ177" s="13">
        <f t="shared" si="87"/>
        <v>0</v>
      </c>
      <c r="BK177" s="13"/>
      <c r="BL177" s="13">
        <v>89</v>
      </c>
    </row>
    <row r="178" spans="1:47" ht="15" customHeight="1">
      <c r="A178" s="30" t="s">
        <v>862</v>
      </c>
      <c r="B178" s="18" t="s">
        <v>103</v>
      </c>
      <c r="C178" s="18" t="s">
        <v>55</v>
      </c>
      <c r="D178" s="73" t="s">
        <v>435</v>
      </c>
      <c r="E178" s="73"/>
      <c r="F178" s="73"/>
      <c r="G178" s="73"/>
      <c r="H178" s="15" t="s">
        <v>1148</v>
      </c>
      <c r="I178" s="15" t="s">
        <v>1148</v>
      </c>
      <c r="J178" s="15" t="s">
        <v>1148</v>
      </c>
      <c r="K178" s="56">
        <f>SUM(K179:K179)</f>
        <v>0</v>
      </c>
      <c r="L178" s="56">
        <f>SUM(L179:L179)</f>
        <v>0</v>
      </c>
      <c r="M178" s="56">
        <f>SUM(M179:M179)</f>
        <v>0</v>
      </c>
      <c r="N178" s="21" t="s">
        <v>862</v>
      </c>
      <c r="O178" s="47" t="s">
        <v>862</v>
      </c>
      <c r="AI178" s="21" t="s">
        <v>103</v>
      </c>
      <c r="AS178" s="56">
        <f>SUM(AJ179:AJ179)</f>
        <v>0</v>
      </c>
      <c r="AT178" s="56">
        <f>SUM(AK179:AK179)</f>
        <v>0</v>
      </c>
      <c r="AU178" s="56">
        <f>SUM(AL179:AL179)</f>
        <v>0</v>
      </c>
    </row>
    <row r="179" spans="1:64" ht="15" customHeight="1">
      <c r="A179" s="11" t="s">
        <v>583</v>
      </c>
      <c r="B179" s="48" t="s">
        <v>103</v>
      </c>
      <c r="C179" s="48" t="s">
        <v>956</v>
      </c>
      <c r="D179" s="61" t="s">
        <v>755</v>
      </c>
      <c r="E179" s="61"/>
      <c r="F179" s="61"/>
      <c r="G179" s="61"/>
      <c r="H179" s="48" t="s">
        <v>1018</v>
      </c>
      <c r="I179" s="13">
        <v>937.2</v>
      </c>
      <c r="J179" s="13">
        <v>0</v>
      </c>
      <c r="K179" s="13">
        <f>I179*AO179</f>
        <v>0</v>
      </c>
      <c r="L179" s="13">
        <f>I179*AP179</f>
        <v>0</v>
      </c>
      <c r="M179" s="13">
        <f>I179*J179</f>
        <v>0</v>
      </c>
      <c r="N179" s="13">
        <v>0</v>
      </c>
      <c r="O179" s="10" t="s">
        <v>851</v>
      </c>
      <c r="Z179" s="13">
        <f>IF(AQ179="5",BJ179,0)</f>
        <v>0</v>
      </c>
      <c r="AB179" s="13">
        <f>IF(AQ179="1",BH179,0)</f>
        <v>0</v>
      </c>
      <c r="AC179" s="13">
        <f>IF(AQ179="1",BI179,0)</f>
        <v>0</v>
      </c>
      <c r="AD179" s="13">
        <f>IF(AQ179="7",BH179,0)</f>
        <v>0</v>
      </c>
      <c r="AE179" s="13">
        <f>IF(AQ179="7",BI179,0)</f>
        <v>0</v>
      </c>
      <c r="AF179" s="13">
        <f>IF(AQ179="2",BH179,0)</f>
        <v>0</v>
      </c>
      <c r="AG179" s="13">
        <f>IF(AQ179="2",BI179,0)</f>
        <v>0</v>
      </c>
      <c r="AH179" s="13">
        <f>IF(AQ179="0",BJ179,0)</f>
        <v>0</v>
      </c>
      <c r="AI179" s="21" t="s">
        <v>103</v>
      </c>
      <c r="AJ179" s="13">
        <f>IF(AN179=0,M179,0)</f>
        <v>0</v>
      </c>
      <c r="AK179" s="13">
        <f>IF(AN179=15,M179,0)</f>
        <v>0</v>
      </c>
      <c r="AL179" s="13">
        <f>IF(AN179=21,M179,0)</f>
        <v>0</v>
      </c>
      <c r="AN179" s="13">
        <v>21</v>
      </c>
      <c r="AO179" s="13">
        <f>J179*0.575753891205813</f>
        <v>0</v>
      </c>
      <c r="AP179" s="13">
        <f>J179*(1-0.575753891205813)</f>
        <v>0</v>
      </c>
      <c r="AQ179" s="32" t="s">
        <v>1231</v>
      </c>
      <c r="AV179" s="13">
        <f>AW179+AX179</f>
        <v>0</v>
      </c>
      <c r="AW179" s="13">
        <f>I179*AO179</f>
        <v>0</v>
      </c>
      <c r="AX179" s="13">
        <f>I179*AP179</f>
        <v>0</v>
      </c>
      <c r="AY179" s="32" t="s">
        <v>1206</v>
      </c>
      <c r="AZ179" s="32" t="s">
        <v>422</v>
      </c>
      <c r="BA179" s="21" t="s">
        <v>854</v>
      </c>
      <c r="BC179" s="13">
        <f>AW179+AX179</f>
        <v>0</v>
      </c>
      <c r="BD179" s="13">
        <f>J179/(100-BE179)*100</f>
        <v>0</v>
      </c>
      <c r="BE179" s="13">
        <v>0</v>
      </c>
      <c r="BF179" s="13">
        <f>179</f>
        <v>179</v>
      </c>
      <c r="BH179" s="13">
        <f>I179*AO179</f>
        <v>0</v>
      </c>
      <c r="BI179" s="13">
        <f>I179*AP179</f>
        <v>0</v>
      </c>
      <c r="BJ179" s="13">
        <f>I179*J179</f>
        <v>0</v>
      </c>
      <c r="BK179" s="13"/>
      <c r="BL179" s="13">
        <v>91</v>
      </c>
    </row>
    <row r="180" spans="1:47" ht="15" customHeight="1">
      <c r="A180" s="30" t="s">
        <v>862</v>
      </c>
      <c r="B180" s="18" t="s">
        <v>103</v>
      </c>
      <c r="C180" s="18" t="s">
        <v>687</v>
      </c>
      <c r="D180" s="73" t="s">
        <v>927</v>
      </c>
      <c r="E180" s="73"/>
      <c r="F180" s="73"/>
      <c r="G180" s="73"/>
      <c r="H180" s="15" t="s">
        <v>1148</v>
      </c>
      <c r="I180" s="15" t="s">
        <v>1148</v>
      </c>
      <c r="J180" s="15" t="s">
        <v>1148</v>
      </c>
      <c r="K180" s="56">
        <f>SUM(K181:K182)</f>
        <v>0</v>
      </c>
      <c r="L180" s="56">
        <f>SUM(L181:L182)</f>
        <v>0</v>
      </c>
      <c r="M180" s="56">
        <f>SUM(M181:M182)</f>
        <v>0</v>
      </c>
      <c r="N180" s="21" t="s">
        <v>862</v>
      </c>
      <c r="O180" s="47" t="s">
        <v>862</v>
      </c>
      <c r="AI180" s="21" t="s">
        <v>103</v>
      </c>
      <c r="AS180" s="56">
        <f>SUM(AJ181:AJ182)</f>
        <v>0</v>
      </c>
      <c r="AT180" s="56">
        <f>SUM(AK181:AK182)</f>
        <v>0</v>
      </c>
      <c r="AU180" s="56">
        <f>SUM(AL181:AL182)</f>
        <v>0</v>
      </c>
    </row>
    <row r="181" spans="1:64" ht="15" customHeight="1">
      <c r="A181" s="11" t="s">
        <v>909</v>
      </c>
      <c r="B181" s="48" t="s">
        <v>103</v>
      </c>
      <c r="C181" s="48" t="s">
        <v>190</v>
      </c>
      <c r="D181" s="61" t="s">
        <v>33</v>
      </c>
      <c r="E181" s="61"/>
      <c r="F181" s="61"/>
      <c r="G181" s="61"/>
      <c r="H181" s="48" t="s">
        <v>1195</v>
      </c>
      <c r="I181" s="13">
        <v>1.197</v>
      </c>
      <c r="J181" s="13">
        <v>0</v>
      </c>
      <c r="K181" s="13">
        <f>I181*AO181</f>
        <v>0</v>
      </c>
      <c r="L181" s="13">
        <f>I181*AP181</f>
        <v>0</v>
      </c>
      <c r="M181" s="13">
        <f>I181*J181</f>
        <v>0</v>
      </c>
      <c r="N181" s="13">
        <v>0.00233</v>
      </c>
      <c r="O181" s="10" t="s">
        <v>851</v>
      </c>
      <c r="Z181" s="13">
        <f>IF(AQ181="5",BJ181,0)</f>
        <v>0</v>
      </c>
      <c r="AB181" s="13">
        <f>IF(AQ181="1",BH181,0)</f>
        <v>0</v>
      </c>
      <c r="AC181" s="13">
        <f>IF(AQ181="1",BI181,0)</f>
        <v>0</v>
      </c>
      <c r="AD181" s="13">
        <f>IF(AQ181="7",BH181,0)</f>
        <v>0</v>
      </c>
      <c r="AE181" s="13">
        <f>IF(AQ181="7",BI181,0)</f>
        <v>0</v>
      </c>
      <c r="AF181" s="13">
        <f>IF(AQ181="2",BH181,0)</f>
        <v>0</v>
      </c>
      <c r="AG181" s="13">
        <f>IF(AQ181="2",BI181,0)</f>
        <v>0</v>
      </c>
      <c r="AH181" s="13">
        <f>IF(AQ181="0",BJ181,0)</f>
        <v>0</v>
      </c>
      <c r="AI181" s="21" t="s">
        <v>103</v>
      </c>
      <c r="AJ181" s="13">
        <f>IF(AN181=0,M181,0)</f>
        <v>0</v>
      </c>
      <c r="AK181" s="13">
        <f>IF(AN181=15,M181,0)</f>
        <v>0</v>
      </c>
      <c r="AL181" s="13">
        <f>IF(AN181=21,M181,0)</f>
        <v>0</v>
      </c>
      <c r="AN181" s="13">
        <v>21</v>
      </c>
      <c r="AO181" s="13">
        <f>J181*0.0697739448342382</f>
        <v>0</v>
      </c>
      <c r="AP181" s="13">
        <f>J181*(1-0.0697739448342382)</f>
        <v>0</v>
      </c>
      <c r="AQ181" s="32" t="s">
        <v>1231</v>
      </c>
      <c r="AV181" s="13">
        <f>AW181+AX181</f>
        <v>0</v>
      </c>
      <c r="AW181" s="13">
        <f>I181*AO181</f>
        <v>0</v>
      </c>
      <c r="AX181" s="13">
        <f>I181*AP181</f>
        <v>0</v>
      </c>
      <c r="AY181" s="32" t="s">
        <v>1084</v>
      </c>
      <c r="AZ181" s="32" t="s">
        <v>422</v>
      </c>
      <c r="BA181" s="21" t="s">
        <v>854</v>
      </c>
      <c r="BC181" s="13">
        <f>AW181+AX181</f>
        <v>0</v>
      </c>
      <c r="BD181" s="13">
        <f>J181/(100-BE181)*100</f>
        <v>0</v>
      </c>
      <c r="BE181" s="13">
        <v>0</v>
      </c>
      <c r="BF181" s="13">
        <f>181</f>
        <v>181</v>
      </c>
      <c r="BH181" s="13">
        <f>I181*AO181</f>
        <v>0</v>
      </c>
      <c r="BI181" s="13">
        <f>I181*AP181</f>
        <v>0</v>
      </c>
      <c r="BJ181" s="13">
        <f>I181*J181</f>
        <v>0</v>
      </c>
      <c r="BK181" s="13"/>
      <c r="BL181" s="13">
        <v>96</v>
      </c>
    </row>
    <row r="182" spans="1:64" ht="15" customHeight="1">
      <c r="A182" s="11" t="s">
        <v>393</v>
      </c>
      <c r="B182" s="48" t="s">
        <v>103</v>
      </c>
      <c r="C182" s="48" t="s">
        <v>653</v>
      </c>
      <c r="D182" s="61" t="s">
        <v>230</v>
      </c>
      <c r="E182" s="61"/>
      <c r="F182" s="61"/>
      <c r="G182" s="61"/>
      <c r="H182" s="48" t="s">
        <v>553</v>
      </c>
      <c r="I182" s="13">
        <v>4.8319</v>
      </c>
      <c r="J182" s="13">
        <v>0</v>
      </c>
      <c r="K182" s="13">
        <f>I182*AO182</f>
        <v>0</v>
      </c>
      <c r="L182" s="13">
        <f>I182*AP182</f>
        <v>0</v>
      </c>
      <c r="M182" s="13">
        <f>I182*J182</f>
        <v>0</v>
      </c>
      <c r="N182" s="13">
        <v>0</v>
      </c>
      <c r="O182" s="10" t="s">
        <v>851</v>
      </c>
      <c r="Z182" s="13">
        <f>IF(AQ182="5",BJ182,0)</f>
        <v>0</v>
      </c>
      <c r="AB182" s="13">
        <f>IF(AQ182="1",BH182,0)</f>
        <v>0</v>
      </c>
      <c r="AC182" s="13">
        <f>IF(AQ182="1",BI182,0)</f>
        <v>0</v>
      </c>
      <c r="AD182" s="13">
        <f>IF(AQ182="7",BH182,0)</f>
        <v>0</v>
      </c>
      <c r="AE182" s="13">
        <f>IF(AQ182="7",BI182,0)</f>
        <v>0</v>
      </c>
      <c r="AF182" s="13">
        <f>IF(AQ182="2",BH182,0)</f>
        <v>0</v>
      </c>
      <c r="AG182" s="13">
        <f>IF(AQ182="2",BI182,0)</f>
        <v>0</v>
      </c>
      <c r="AH182" s="13">
        <f>IF(AQ182="0",BJ182,0)</f>
        <v>0</v>
      </c>
      <c r="AI182" s="21" t="s">
        <v>103</v>
      </c>
      <c r="AJ182" s="13">
        <f>IF(AN182=0,M182,0)</f>
        <v>0</v>
      </c>
      <c r="AK182" s="13">
        <f>IF(AN182=15,M182,0)</f>
        <v>0</v>
      </c>
      <c r="AL182" s="13">
        <f>IF(AN182=21,M182,0)</f>
        <v>0</v>
      </c>
      <c r="AN182" s="13">
        <v>21</v>
      </c>
      <c r="AO182" s="13">
        <f>J182*0</f>
        <v>0</v>
      </c>
      <c r="AP182" s="13">
        <f>J182*(1-0)</f>
        <v>0</v>
      </c>
      <c r="AQ182" s="32" t="s">
        <v>654</v>
      </c>
      <c r="AV182" s="13">
        <f>AW182+AX182</f>
        <v>0</v>
      </c>
      <c r="AW182" s="13">
        <f>I182*AO182</f>
        <v>0</v>
      </c>
      <c r="AX182" s="13">
        <f>I182*AP182</f>
        <v>0</v>
      </c>
      <c r="AY182" s="32" t="s">
        <v>1084</v>
      </c>
      <c r="AZ182" s="32" t="s">
        <v>422</v>
      </c>
      <c r="BA182" s="21" t="s">
        <v>854</v>
      </c>
      <c r="BC182" s="13">
        <f>AW182+AX182</f>
        <v>0</v>
      </c>
      <c r="BD182" s="13">
        <f>J182/(100-BE182)*100</f>
        <v>0</v>
      </c>
      <c r="BE182" s="13">
        <v>0</v>
      </c>
      <c r="BF182" s="13">
        <f>182</f>
        <v>182</v>
      </c>
      <c r="BH182" s="13">
        <f>I182*AO182</f>
        <v>0</v>
      </c>
      <c r="BI182" s="13">
        <f>I182*AP182</f>
        <v>0</v>
      </c>
      <c r="BJ182" s="13">
        <f>I182*J182</f>
        <v>0</v>
      </c>
      <c r="BK182" s="13"/>
      <c r="BL182" s="13">
        <v>96</v>
      </c>
    </row>
    <row r="183" spans="1:47" ht="15" customHeight="1">
      <c r="A183" s="30" t="s">
        <v>862</v>
      </c>
      <c r="B183" s="18" t="s">
        <v>103</v>
      </c>
      <c r="C183" s="18" t="s">
        <v>143</v>
      </c>
      <c r="D183" s="73" t="s">
        <v>1363</v>
      </c>
      <c r="E183" s="73"/>
      <c r="F183" s="73"/>
      <c r="G183" s="73"/>
      <c r="H183" s="15" t="s">
        <v>1148</v>
      </c>
      <c r="I183" s="15" t="s">
        <v>1148</v>
      </c>
      <c r="J183" s="15" t="s">
        <v>1148</v>
      </c>
      <c r="K183" s="56">
        <f>SUM(K184:K185)</f>
        <v>0</v>
      </c>
      <c r="L183" s="56">
        <f>SUM(L184:L185)</f>
        <v>0</v>
      </c>
      <c r="M183" s="56">
        <f>SUM(M184:M185)</f>
        <v>0</v>
      </c>
      <c r="N183" s="21" t="s">
        <v>862</v>
      </c>
      <c r="O183" s="47" t="s">
        <v>862</v>
      </c>
      <c r="AI183" s="21" t="s">
        <v>103</v>
      </c>
      <c r="AS183" s="56">
        <f>SUM(AJ184:AJ185)</f>
        <v>0</v>
      </c>
      <c r="AT183" s="56">
        <f>SUM(AK184:AK185)</f>
        <v>0</v>
      </c>
      <c r="AU183" s="56">
        <f>SUM(AL184:AL185)</f>
        <v>0</v>
      </c>
    </row>
    <row r="184" spans="1:64" ht="15" customHeight="1">
      <c r="A184" s="11" t="s">
        <v>543</v>
      </c>
      <c r="B184" s="48" t="s">
        <v>103</v>
      </c>
      <c r="C184" s="48" t="s">
        <v>1281</v>
      </c>
      <c r="D184" s="61" t="s">
        <v>955</v>
      </c>
      <c r="E184" s="61"/>
      <c r="F184" s="61"/>
      <c r="G184" s="61"/>
      <c r="H184" s="48" t="s">
        <v>1018</v>
      </c>
      <c r="I184" s="13">
        <v>0.3</v>
      </c>
      <c r="J184" s="13">
        <v>0</v>
      </c>
      <c r="K184" s="13">
        <f>I184*AO184</f>
        <v>0</v>
      </c>
      <c r="L184" s="13">
        <f>I184*AP184</f>
        <v>0</v>
      </c>
      <c r="M184" s="13">
        <f>I184*J184</f>
        <v>0</v>
      </c>
      <c r="N184" s="13">
        <v>0</v>
      </c>
      <c r="O184" s="10" t="s">
        <v>851</v>
      </c>
      <c r="Z184" s="13">
        <f>IF(AQ184="5",BJ184,0)</f>
        <v>0</v>
      </c>
      <c r="AB184" s="13">
        <f>IF(AQ184="1",BH184,0)</f>
        <v>0</v>
      </c>
      <c r="AC184" s="13">
        <f>IF(AQ184="1",BI184,0)</f>
        <v>0</v>
      </c>
      <c r="AD184" s="13">
        <f>IF(AQ184="7",BH184,0)</f>
        <v>0</v>
      </c>
      <c r="AE184" s="13">
        <f>IF(AQ184="7",BI184,0)</f>
        <v>0</v>
      </c>
      <c r="AF184" s="13">
        <f>IF(AQ184="2",BH184,0)</f>
        <v>0</v>
      </c>
      <c r="AG184" s="13">
        <f>IF(AQ184="2",BI184,0)</f>
        <v>0</v>
      </c>
      <c r="AH184" s="13">
        <f>IF(AQ184="0",BJ184,0)</f>
        <v>0</v>
      </c>
      <c r="AI184" s="21" t="s">
        <v>103</v>
      </c>
      <c r="AJ184" s="13">
        <f>IF(AN184=0,M184,0)</f>
        <v>0</v>
      </c>
      <c r="AK184" s="13">
        <f>IF(AN184=15,M184,0)</f>
        <v>0</v>
      </c>
      <c r="AL184" s="13">
        <f>IF(AN184=21,M184,0)</f>
        <v>0</v>
      </c>
      <c r="AN184" s="13">
        <v>21</v>
      </c>
      <c r="AO184" s="13">
        <f>J184*0.293572713643178</f>
        <v>0</v>
      </c>
      <c r="AP184" s="13">
        <f>J184*(1-0.293572713643178)</f>
        <v>0</v>
      </c>
      <c r="AQ184" s="32" t="s">
        <v>1231</v>
      </c>
      <c r="AV184" s="13">
        <f>AW184+AX184</f>
        <v>0</v>
      </c>
      <c r="AW184" s="13">
        <f>I184*AO184</f>
        <v>0</v>
      </c>
      <c r="AX184" s="13">
        <f>I184*AP184</f>
        <v>0</v>
      </c>
      <c r="AY184" s="32" t="s">
        <v>378</v>
      </c>
      <c r="AZ184" s="32" t="s">
        <v>422</v>
      </c>
      <c r="BA184" s="21" t="s">
        <v>854</v>
      </c>
      <c r="BC184" s="13">
        <f>AW184+AX184</f>
        <v>0</v>
      </c>
      <c r="BD184" s="13">
        <f>J184/(100-BE184)*100</f>
        <v>0</v>
      </c>
      <c r="BE184" s="13">
        <v>0</v>
      </c>
      <c r="BF184" s="13">
        <f>184</f>
        <v>184</v>
      </c>
      <c r="BH184" s="13">
        <f>I184*AO184</f>
        <v>0</v>
      </c>
      <c r="BI184" s="13">
        <f>I184*AP184</f>
        <v>0</v>
      </c>
      <c r="BJ184" s="13">
        <f>I184*J184</f>
        <v>0</v>
      </c>
      <c r="BK184" s="13"/>
      <c r="BL184" s="13">
        <v>97</v>
      </c>
    </row>
    <row r="185" spans="1:64" ht="15" customHeight="1">
      <c r="A185" s="11" t="s">
        <v>348</v>
      </c>
      <c r="B185" s="48" t="s">
        <v>103</v>
      </c>
      <c r="C185" s="48" t="s">
        <v>363</v>
      </c>
      <c r="D185" s="61" t="s">
        <v>600</v>
      </c>
      <c r="E185" s="61"/>
      <c r="F185" s="61"/>
      <c r="G185" s="61"/>
      <c r="H185" s="48" t="s">
        <v>299</v>
      </c>
      <c r="I185" s="13">
        <v>2</v>
      </c>
      <c r="J185" s="13">
        <v>0</v>
      </c>
      <c r="K185" s="13">
        <f>I185*AO185</f>
        <v>0</v>
      </c>
      <c r="L185" s="13">
        <f>I185*AP185</f>
        <v>0</v>
      </c>
      <c r="M185" s="13">
        <f>I185*J185</f>
        <v>0</v>
      </c>
      <c r="N185" s="13">
        <v>0.00133</v>
      </c>
      <c r="O185" s="10" t="s">
        <v>851</v>
      </c>
      <c r="Z185" s="13">
        <f>IF(AQ185="5",BJ185,0)</f>
        <v>0</v>
      </c>
      <c r="AB185" s="13">
        <f>IF(AQ185="1",BH185,0)</f>
        <v>0</v>
      </c>
      <c r="AC185" s="13">
        <f>IF(AQ185="1",BI185,0)</f>
        <v>0</v>
      </c>
      <c r="AD185" s="13">
        <f>IF(AQ185="7",BH185,0)</f>
        <v>0</v>
      </c>
      <c r="AE185" s="13">
        <f>IF(AQ185="7",BI185,0)</f>
        <v>0</v>
      </c>
      <c r="AF185" s="13">
        <f>IF(AQ185="2",BH185,0)</f>
        <v>0</v>
      </c>
      <c r="AG185" s="13">
        <f>IF(AQ185="2",BI185,0)</f>
        <v>0</v>
      </c>
      <c r="AH185" s="13">
        <f>IF(AQ185="0",BJ185,0)</f>
        <v>0</v>
      </c>
      <c r="AI185" s="21" t="s">
        <v>103</v>
      </c>
      <c r="AJ185" s="13">
        <f>IF(AN185=0,M185,0)</f>
        <v>0</v>
      </c>
      <c r="AK185" s="13">
        <f>IF(AN185=15,M185,0)</f>
        <v>0</v>
      </c>
      <c r="AL185" s="13">
        <f>IF(AN185=21,M185,0)</f>
        <v>0</v>
      </c>
      <c r="AN185" s="13">
        <v>21</v>
      </c>
      <c r="AO185" s="13">
        <f>J185*0.0389679358717435</f>
        <v>0</v>
      </c>
      <c r="AP185" s="13">
        <f>J185*(1-0.0389679358717435)</f>
        <v>0</v>
      </c>
      <c r="AQ185" s="32" t="s">
        <v>1231</v>
      </c>
      <c r="AV185" s="13">
        <f>AW185+AX185</f>
        <v>0</v>
      </c>
      <c r="AW185" s="13">
        <f>I185*AO185</f>
        <v>0</v>
      </c>
      <c r="AX185" s="13">
        <f>I185*AP185</f>
        <v>0</v>
      </c>
      <c r="AY185" s="32" t="s">
        <v>378</v>
      </c>
      <c r="AZ185" s="32" t="s">
        <v>422</v>
      </c>
      <c r="BA185" s="21" t="s">
        <v>854</v>
      </c>
      <c r="BC185" s="13">
        <f>AW185+AX185</f>
        <v>0</v>
      </c>
      <c r="BD185" s="13">
        <f>J185/(100-BE185)*100</f>
        <v>0</v>
      </c>
      <c r="BE185" s="13">
        <v>0</v>
      </c>
      <c r="BF185" s="13">
        <f>185</f>
        <v>185</v>
      </c>
      <c r="BH185" s="13">
        <f>I185*AO185</f>
        <v>0</v>
      </c>
      <c r="BI185" s="13">
        <f>I185*AP185</f>
        <v>0</v>
      </c>
      <c r="BJ185" s="13">
        <f>I185*J185</f>
        <v>0</v>
      </c>
      <c r="BK185" s="13"/>
      <c r="BL185" s="13">
        <v>97</v>
      </c>
    </row>
    <row r="186" spans="1:47" ht="15" customHeight="1">
      <c r="A186" s="30" t="s">
        <v>862</v>
      </c>
      <c r="B186" s="18" t="s">
        <v>103</v>
      </c>
      <c r="C186" s="18" t="s">
        <v>1305</v>
      </c>
      <c r="D186" s="73" t="s">
        <v>913</v>
      </c>
      <c r="E186" s="73"/>
      <c r="F186" s="73"/>
      <c r="G186" s="73"/>
      <c r="H186" s="15" t="s">
        <v>1148</v>
      </c>
      <c r="I186" s="15" t="s">
        <v>1148</v>
      </c>
      <c r="J186" s="15" t="s">
        <v>1148</v>
      </c>
      <c r="K186" s="56">
        <f>SUM(K187:K194)</f>
        <v>0</v>
      </c>
      <c r="L186" s="56">
        <f>SUM(L187:L194)</f>
        <v>0</v>
      </c>
      <c r="M186" s="56">
        <f>SUM(M187:M194)</f>
        <v>0</v>
      </c>
      <c r="N186" s="21" t="s">
        <v>862</v>
      </c>
      <c r="O186" s="47" t="s">
        <v>862</v>
      </c>
      <c r="AI186" s="21" t="s">
        <v>103</v>
      </c>
      <c r="AS186" s="56">
        <f>SUM(AJ187:AJ194)</f>
        <v>0</v>
      </c>
      <c r="AT186" s="56">
        <f>SUM(AK187:AK194)</f>
        <v>0</v>
      </c>
      <c r="AU186" s="56">
        <f>SUM(AL187:AL194)</f>
        <v>0</v>
      </c>
    </row>
    <row r="187" spans="1:64" ht="15" customHeight="1">
      <c r="A187" s="11" t="s">
        <v>322</v>
      </c>
      <c r="B187" s="48" t="s">
        <v>103</v>
      </c>
      <c r="C187" s="48" t="s">
        <v>702</v>
      </c>
      <c r="D187" s="61" t="s">
        <v>455</v>
      </c>
      <c r="E187" s="61"/>
      <c r="F187" s="61"/>
      <c r="G187" s="61"/>
      <c r="H187" s="48" t="s">
        <v>1018</v>
      </c>
      <c r="I187" s="13">
        <v>14</v>
      </c>
      <c r="J187" s="13">
        <v>0</v>
      </c>
      <c r="K187" s="13">
        <f aca="true" t="shared" si="92" ref="K187:K194">I187*AO187</f>
        <v>0</v>
      </c>
      <c r="L187" s="13">
        <f aca="true" t="shared" si="93" ref="L187:L194">I187*AP187</f>
        <v>0</v>
      </c>
      <c r="M187" s="13">
        <f aca="true" t="shared" si="94" ref="M187:M194">I187*J187</f>
        <v>0</v>
      </c>
      <c r="N187" s="13">
        <v>0.02712</v>
      </c>
      <c r="O187" s="10" t="s">
        <v>851</v>
      </c>
      <c r="Z187" s="13">
        <f aca="true" t="shared" si="95" ref="Z187:Z194">IF(AQ187="5",BJ187,0)</f>
        <v>0</v>
      </c>
      <c r="AB187" s="13">
        <f aca="true" t="shared" si="96" ref="AB187:AB194">IF(AQ187="1",BH187,0)</f>
        <v>0</v>
      </c>
      <c r="AC187" s="13">
        <f aca="true" t="shared" si="97" ref="AC187:AC194">IF(AQ187="1",BI187,0)</f>
        <v>0</v>
      </c>
      <c r="AD187" s="13">
        <f aca="true" t="shared" si="98" ref="AD187:AD194">IF(AQ187="7",BH187,0)</f>
        <v>0</v>
      </c>
      <c r="AE187" s="13">
        <f aca="true" t="shared" si="99" ref="AE187:AE194">IF(AQ187="7",BI187,0)</f>
        <v>0</v>
      </c>
      <c r="AF187" s="13">
        <f aca="true" t="shared" si="100" ref="AF187:AF194">IF(AQ187="2",BH187,0)</f>
        <v>0</v>
      </c>
      <c r="AG187" s="13">
        <f aca="true" t="shared" si="101" ref="AG187:AG194">IF(AQ187="2",BI187,0)</f>
        <v>0</v>
      </c>
      <c r="AH187" s="13">
        <f aca="true" t="shared" si="102" ref="AH187:AH194">IF(AQ187="0",BJ187,0)</f>
        <v>0</v>
      </c>
      <c r="AI187" s="21" t="s">
        <v>103</v>
      </c>
      <c r="AJ187" s="13">
        <f aca="true" t="shared" si="103" ref="AJ187:AJ194">IF(AN187=0,M187,0)</f>
        <v>0</v>
      </c>
      <c r="AK187" s="13">
        <f aca="true" t="shared" si="104" ref="AK187:AK194">IF(AN187=15,M187,0)</f>
        <v>0</v>
      </c>
      <c r="AL187" s="13">
        <f aca="true" t="shared" si="105" ref="AL187:AL194">IF(AN187=21,M187,0)</f>
        <v>0</v>
      </c>
      <c r="AN187" s="13">
        <v>21</v>
      </c>
      <c r="AO187" s="13">
        <f>J187*0.285292190060076</f>
        <v>0</v>
      </c>
      <c r="AP187" s="13">
        <f>J187*(1-0.285292190060076)</f>
        <v>0</v>
      </c>
      <c r="AQ187" s="32" t="s">
        <v>857</v>
      </c>
      <c r="AV187" s="13">
        <f aca="true" t="shared" si="106" ref="AV187:AV194">AW187+AX187</f>
        <v>0</v>
      </c>
      <c r="AW187" s="13">
        <f aca="true" t="shared" si="107" ref="AW187:AW194">I187*AO187</f>
        <v>0</v>
      </c>
      <c r="AX187" s="13">
        <f aca="true" t="shared" si="108" ref="AX187:AX194">I187*AP187</f>
        <v>0</v>
      </c>
      <c r="AY187" s="32" t="s">
        <v>1149</v>
      </c>
      <c r="AZ187" s="32" t="s">
        <v>422</v>
      </c>
      <c r="BA187" s="21" t="s">
        <v>854</v>
      </c>
      <c r="BC187" s="13">
        <f aca="true" t="shared" si="109" ref="BC187:BC194">AW187+AX187</f>
        <v>0</v>
      </c>
      <c r="BD187" s="13">
        <f aca="true" t="shared" si="110" ref="BD187:BD194">J187/(100-BE187)*100</f>
        <v>0</v>
      </c>
      <c r="BE187" s="13">
        <v>0</v>
      </c>
      <c r="BF187" s="13">
        <f>187</f>
        <v>187</v>
      </c>
      <c r="BH187" s="13">
        <f aca="true" t="shared" si="111" ref="BH187:BH194">I187*AO187</f>
        <v>0</v>
      </c>
      <c r="BI187" s="13">
        <f aca="true" t="shared" si="112" ref="BI187:BI194">I187*AP187</f>
        <v>0</v>
      </c>
      <c r="BJ187" s="13">
        <f aca="true" t="shared" si="113" ref="BJ187:BJ194">I187*J187</f>
        <v>0</v>
      </c>
      <c r="BK187" s="13"/>
      <c r="BL187" s="13"/>
    </row>
    <row r="188" spans="1:64" ht="15" customHeight="1">
      <c r="A188" s="11" t="s">
        <v>1254</v>
      </c>
      <c r="B188" s="48" t="s">
        <v>103</v>
      </c>
      <c r="C188" s="48" t="s">
        <v>1059</v>
      </c>
      <c r="D188" s="61" t="s">
        <v>551</v>
      </c>
      <c r="E188" s="61"/>
      <c r="F188" s="61"/>
      <c r="G188" s="61"/>
      <c r="H188" s="48" t="s">
        <v>299</v>
      </c>
      <c r="I188" s="13">
        <v>2</v>
      </c>
      <c r="J188" s="13">
        <v>0</v>
      </c>
      <c r="K188" s="13">
        <f t="shared" si="92"/>
        <v>0</v>
      </c>
      <c r="L188" s="13">
        <f t="shared" si="93"/>
        <v>0</v>
      </c>
      <c r="M188" s="13">
        <f t="shared" si="94"/>
        <v>0</v>
      </c>
      <c r="N188" s="13">
        <v>0</v>
      </c>
      <c r="O188" s="10" t="s">
        <v>851</v>
      </c>
      <c r="Z188" s="13">
        <f t="shared" si="95"/>
        <v>0</v>
      </c>
      <c r="AB188" s="13">
        <f t="shared" si="96"/>
        <v>0</v>
      </c>
      <c r="AC188" s="13">
        <f t="shared" si="97"/>
        <v>0</v>
      </c>
      <c r="AD188" s="13">
        <f t="shared" si="98"/>
        <v>0</v>
      </c>
      <c r="AE188" s="13">
        <f t="shared" si="99"/>
        <v>0</v>
      </c>
      <c r="AF188" s="13">
        <f t="shared" si="100"/>
        <v>0</v>
      </c>
      <c r="AG188" s="13">
        <f t="shared" si="101"/>
        <v>0</v>
      </c>
      <c r="AH188" s="13">
        <f t="shared" si="102"/>
        <v>0</v>
      </c>
      <c r="AI188" s="21" t="s">
        <v>103</v>
      </c>
      <c r="AJ188" s="13">
        <f t="shared" si="103"/>
        <v>0</v>
      </c>
      <c r="AK188" s="13">
        <f t="shared" si="104"/>
        <v>0</v>
      </c>
      <c r="AL188" s="13">
        <f t="shared" si="105"/>
        <v>0</v>
      </c>
      <c r="AN188" s="13">
        <v>21</v>
      </c>
      <c r="AO188" s="13">
        <f>J188*0</f>
        <v>0</v>
      </c>
      <c r="AP188" s="13">
        <f>J188*(1-0)</f>
        <v>0</v>
      </c>
      <c r="AQ188" s="32" t="s">
        <v>857</v>
      </c>
      <c r="AV188" s="13">
        <f t="shared" si="106"/>
        <v>0</v>
      </c>
      <c r="AW188" s="13">
        <f t="shared" si="107"/>
        <v>0</v>
      </c>
      <c r="AX188" s="13">
        <f t="shared" si="108"/>
        <v>0</v>
      </c>
      <c r="AY188" s="32" t="s">
        <v>1149</v>
      </c>
      <c r="AZ188" s="32" t="s">
        <v>422</v>
      </c>
      <c r="BA188" s="21" t="s">
        <v>854</v>
      </c>
      <c r="BC188" s="13">
        <f t="shared" si="109"/>
        <v>0</v>
      </c>
      <c r="BD188" s="13">
        <f t="shared" si="110"/>
        <v>0</v>
      </c>
      <c r="BE188" s="13">
        <v>0</v>
      </c>
      <c r="BF188" s="13">
        <f>188</f>
        <v>188</v>
      </c>
      <c r="BH188" s="13">
        <f t="shared" si="111"/>
        <v>0</v>
      </c>
      <c r="BI188" s="13">
        <f t="shared" si="112"/>
        <v>0</v>
      </c>
      <c r="BJ188" s="13">
        <f t="shared" si="113"/>
        <v>0</v>
      </c>
      <c r="BK188" s="13"/>
      <c r="BL188" s="13"/>
    </row>
    <row r="189" spans="1:64" ht="15" customHeight="1">
      <c r="A189" s="11" t="s">
        <v>443</v>
      </c>
      <c r="B189" s="48" t="s">
        <v>103</v>
      </c>
      <c r="C189" s="48" t="s">
        <v>1038</v>
      </c>
      <c r="D189" s="61" t="s">
        <v>1167</v>
      </c>
      <c r="E189" s="61"/>
      <c r="F189" s="61"/>
      <c r="G189" s="61"/>
      <c r="H189" s="48" t="s">
        <v>1018</v>
      </c>
      <c r="I189" s="13">
        <v>52.5</v>
      </c>
      <c r="J189" s="13">
        <v>0</v>
      </c>
      <c r="K189" s="13">
        <f t="shared" si="92"/>
        <v>0</v>
      </c>
      <c r="L189" s="13">
        <f t="shared" si="93"/>
        <v>0</v>
      </c>
      <c r="M189" s="13">
        <f t="shared" si="94"/>
        <v>0</v>
      </c>
      <c r="N189" s="13">
        <v>0.00869</v>
      </c>
      <c r="O189" s="10" t="s">
        <v>851</v>
      </c>
      <c r="Z189" s="13">
        <f t="shared" si="95"/>
        <v>0</v>
      </c>
      <c r="AB189" s="13">
        <f t="shared" si="96"/>
        <v>0</v>
      </c>
      <c r="AC189" s="13">
        <f t="shared" si="97"/>
        <v>0</v>
      </c>
      <c r="AD189" s="13">
        <f t="shared" si="98"/>
        <v>0</v>
      </c>
      <c r="AE189" s="13">
        <f t="shared" si="99"/>
        <v>0</v>
      </c>
      <c r="AF189" s="13">
        <f t="shared" si="100"/>
        <v>0</v>
      </c>
      <c r="AG189" s="13">
        <f t="shared" si="101"/>
        <v>0</v>
      </c>
      <c r="AH189" s="13">
        <f t="shared" si="102"/>
        <v>0</v>
      </c>
      <c r="AI189" s="21" t="s">
        <v>103</v>
      </c>
      <c r="AJ189" s="13">
        <f t="shared" si="103"/>
        <v>0</v>
      </c>
      <c r="AK189" s="13">
        <f t="shared" si="104"/>
        <v>0</v>
      </c>
      <c r="AL189" s="13">
        <f t="shared" si="105"/>
        <v>0</v>
      </c>
      <c r="AN189" s="13">
        <v>21</v>
      </c>
      <c r="AO189" s="13">
        <f>J189*0.282187147688839</f>
        <v>0</v>
      </c>
      <c r="AP189" s="13">
        <f>J189*(1-0.282187147688839)</f>
        <v>0</v>
      </c>
      <c r="AQ189" s="32" t="s">
        <v>1231</v>
      </c>
      <c r="AV189" s="13">
        <f t="shared" si="106"/>
        <v>0</v>
      </c>
      <c r="AW189" s="13">
        <f t="shared" si="107"/>
        <v>0</v>
      </c>
      <c r="AX189" s="13">
        <f t="shared" si="108"/>
        <v>0</v>
      </c>
      <c r="AY189" s="32" t="s">
        <v>1149</v>
      </c>
      <c r="AZ189" s="32" t="s">
        <v>422</v>
      </c>
      <c r="BA189" s="21" t="s">
        <v>854</v>
      </c>
      <c r="BC189" s="13">
        <f t="shared" si="109"/>
        <v>0</v>
      </c>
      <c r="BD189" s="13">
        <f t="shared" si="110"/>
        <v>0</v>
      </c>
      <c r="BE189" s="13">
        <v>0</v>
      </c>
      <c r="BF189" s="13">
        <f>189</f>
        <v>189</v>
      </c>
      <c r="BH189" s="13">
        <f t="shared" si="111"/>
        <v>0</v>
      </c>
      <c r="BI189" s="13">
        <f t="shared" si="112"/>
        <v>0</v>
      </c>
      <c r="BJ189" s="13">
        <f t="shared" si="113"/>
        <v>0</v>
      </c>
      <c r="BK189" s="13"/>
      <c r="BL189" s="13"/>
    </row>
    <row r="190" spans="1:64" ht="15" customHeight="1">
      <c r="A190" s="11" t="s">
        <v>335</v>
      </c>
      <c r="B190" s="48" t="s">
        <v>103</v>
      </c>
      <c r="C190" s="48" t="s">
        <v>567</v>
      </c>
      <c r="D190" s="61" t="s">
        <v>313</v>
      </c>
      <c r="E190" s="61"/>
      <c r="F190" s="61"/>
      <c r="G190" s="61"/>
      <c r="H190" s="48" t="s">
        <v>299</v>
      </c>
      <c r="I190" s="13">
        <v>2</v>
      </c>
      <c r="J190" s="13">
        <v>0</v>
      </c>
      <c r="K190" s="13">
        <f t="shared" si="92"/>
        <v>0</v>
      </c>
      <c r="L190" s="13">
        <f t="shared" si="93"/>
        <v>0</v>
      </c>
      <c r="M190" s="13">
        <f t="shared" si="94"/>
        <v>0</v>
      </c>
      <c r="N190" s="13">
        <v>0.0015</v>
      </c>
      <c r="O190" s="10" t="s">
        <v>851</v>
      </c>
      <c r="Z190" s="13">
        <f t="shared" si="95"/>
        <v>0</v>
      </c>
      <c r="AB190" s="13">
        <f t="shared" si="96"/>
        <v>0</v>
      </c>
      <c r="AC190" s="13">
        <f t="shared" si="97"/>
        <v>0</v>
      </c>
      <c r="AD190" s="13">
        <f t="shared" si="98"/>
        <v>0</v>
      </c>
      <c r="AE190" s="13">
        <f t="shared" si="99"/>
        <v>0</v>
      </c>
      <c r="AF190" s="13">
        <f t="shared" si="100"/>
        <v>0</v>
      </c>
      <c r="AG190" s="13">
        <f t="shared" si="101"/>
        <v>0</v>
      </c>
      <c r="AH190" s="13">
        <f t="shared" si="102"/>
        <v>0</v>
      </c>
      <c r="AI190" s="21" t="s">
        <v>103</v>
      </c>
      <c r="AJ190" s="13">
        <f t="shared" si="103"/>
        <v>0</v>
      </c>
      <c r="AK190" s="13">
        <f t="shared" si="104"/>
        <v>0</v>
      </c>
      <c r="AL190" s="13">
        <f t="shared" si="105"/>
        <v>0</v>
      </c>
      <c r="AN190" s="13">
        <v>21</v>
      </c>
      <c r="AO190" s="13">
        <f>J190*1</f>
        <v>0</v>
      </c>
      <c r="AP190" s="13">
        <f>J190*(1-1)</f>
        <v>0</v>
      </c>
      <c r="AQ190" s="32" t="s">
        <v>1231</v>
      </c>
      <c r="AV190" s="13">
        <f t="shared" si="106"/>
        <v>0</v>
      </c>
      <c r="AW190" s="13">
        <f t="shared" si="107"/>
        <v>0</v>
      </c>
      <c r="AX190" s="13">
        <f t="shared" si="108"/>
        <v>0</v>
      </c>
      <c r="AY190" s="32" t="s">
        <v>1149</v>
      </c>
      <c r="AZ190" s="32" t="s">
        <v>422</v>
      </c>
      <c r="BA190" s="21" t="s">
        <v>854</v>
      </c>
      <c r="BC190" s="13">
        <f t="shared" si="109"/>
        <v>0</v>
      </c>
      <c r="BD190" s="13">
        <f t="shared" si="110"/>
        <v>0</v>
      </c>
      <c r="BE190" s="13">
        <v>0</v>
      </c>
      <c r="BF190" s="13">
        <f>190</f>
        <v>190</v>
      </c>
      <c r="BH190" s="13">
        <f t="shared" si="111"/>
        <v>0</v>
      </c>
      <c r="BI190" s="13">
        <f t="shared" si="112"/>
        <v>0</v>
      </c>
      <c r="BJ190" s="13">
        <f t="shared" si="113"/>
        <v>0</v>
      </c>
      <c r="BK190" s="13"/>
      <c r="BL190" s="13"/>
    </row>
    <row r="191" spans="1:64" ht="15" customHeight="1">
      <c r="A191" s="11" t="s">
        <v>937</v>
      </c>
      <c r="B191" s="48" t="s">
        <v>103</v>
      </c>
      <c r="C191" s="48" t="s">
        <v>1252</v>
      </c>
      <c r="D191" s="61" t="s">
        <v>856</v>
      </c>
      <c r="E191" s="61"/>
      <c r="F191" s="61"/>
      <c r="G191" s="61"/>
      <c r="H191" s="48" t="s">
        <v>299</v>
      </c>
      <c r="I191" s="13">
        <v>10</v>
      </c>
      <c r="J191" s="13">
        <v>0</v>
      </c>
      <c r="K191" s="13">
        <f t="shared" si="92"/>
        <v>0</v>
      </c>
      <c r="L191" s="13">
        <f t="shared" si="93"/>
        <v>0</v>
      </c>
      <c r="M191" s="13">
        <f t="shared" si="94"/>
        <v>0</v>
      </c>
      <c r="N191" s="13">
        <v>0</v>
      </c>
      <c r="O191" s="10" t="s">
        <v>851</v>
      </c>
      <c r="Z191" s="13">
        <f t="shared" si="95"/>
        <v>0</v>
      </c>
      <c r="AB191" s="13">
        <f t="shared" si="96"/>
        <v>0</v>
      </c>
      <c r="AC191" s="13">
        <f t="shared" si="97"/>
        <v>0</v>
      </c>
      <c r="AD191" s="13">
        <f t="shared" si="98"/>
        <v>0</v>
      </c>
      <c r="AE191" s="13">
        <f t="shared" si="99"/>
        <v>0</v>
      </c>
      <c r="AF191" s="13">
        <f t="shared" si="100"/>
        <v>0</v>
      </c>
      <c r="AG191" s="13">
        <f t="shared" si="101"/>
        <v>0</v>
      </c>
      <c r="AH191" s="13">
        <f t="shared" si="102"/>
        <v>0</v>
      </c>
      <c r="AI191" s="21" t="s">
        <v>103</v>
      </c>
      <c r="AJ191" s="13">
        <f t="shared" si="103"/>
        <v>0</v>
      </c>
      <c r="AK191" s="13">
        <f t="shared" si="104"/>
        <v>0</v>
      </c>
      <c r="AL191" s="13">
        <f t="shared" si="105"/>
        <v>0</v>
      </c>
      <c r="AN191" s="13">
        <v>21</v>
      </c>
      <c r="AO191" s="13">
        <f>J191*0</f>
        <v>0</v>
      </c>
      <c r="AP191" s="13">
        <f>J191*(1-0)</f>
        <v>0</v>
      </c>
      <c r="AQ191" s="32" t="s">
        <v>857</v>
      </c>
      <c r="AV191" s="13">
        <f t="shared" si="106"/>
        <v>0</v>
      </c>
      <c r="AW191" s="13">
        <f t="shared" si="107"/>
        <v>0</v>
      </c>
      <c r="AX191" s="13">
        <f t="shared" si="108"/>
        <v>0</v>
      </c>
      <c r="AY191" s="32" t="s">
        <v>1149</v>
      </c>
      <c r="AZ191" s="32" t="s">
        <v>422</v>
      </c>
      <c r="BA191" s="21" t="s">
        <v>854</v>
      </c>
      <c r="BC191" s="13">
        <f t="shared" si="109"/>
        <v>0</v>
      </c>
      <c r="BD191" s="13">
        <f t="shared" si="110"/>
        <v>0</v>
      </c>
      <c r="BE191" s="13">
        <v>0</v>
      </c>
      <c r="BF191" s="13">
        <f>191</f>
        <v>191</v>
      </c>
      <c r="BH191" s="13">
        <f t="shared" si="111"/>
        <v>0</v>
      </c>
      <c r="BI191" s="13">
        <f t="shared" si="112"/>
        <v>0</v>
      </c>
      <c r="BJ191" s="13">
        <f t="shared" si="113"/>
        <v>0</v>
      </c>
      <c r="BK191" s="13"/>
      <c r="BL191" s="13"/>
    </row>
    <row r="192" spans="1:64" ht="15" customHeight="1">
      <c r="A192" s="11" t="s">
        <v>164</v>
      </c>
      <c r="B192" s="48" t="s">
        <v>103</v>
      </c>
      <c r="C192" s="48" t="s">
        <v>236</v>
      </c>
      <c r="D192" s="61" t="s">
        <v>1268</v>
      </c>
      <c r="E192" s="61"/>
      <c r="F192" s="61"/>
      <c r="G192" s="61"/>
      <c r="H192" s="48" t="s">
        <v>299</v>
      </c>
      <c r="I192" s="13">
        <v>10</v>
      </c>
      <c r="J192" s="13">
        <v>0</v>
      </c>
      <c r="K192" s="13">
        <f t="shared" si="92"/>
        <v>0</v>
      </c>
      <c r="L192" s="13">
        <f t="shared" si="93"/>
        <v>0</v>
      </c>
      <c r="M192" s="13">
        <f t="shared" si="94"/>
        <v>0</v>
      </c>
      <c r="N192" s="13">
        <v>0.0009</v>
      </c>
      <c r="O192" s="10" t="s">
        <v>851</v>
      </c>
      <c r="Z192" s="13">
        <f t="shared" si="95"/>
        <v>0</v>
      </c>
      <c r="AB192" s="13">
        <f t="shared" si="96"/>
        <v>0</v>
      </c>
      <c r="AC192" s="13">
        <f t="shared" si="97"/>
        <v>0</v>
      </c>
      <c r="AD192" s="13">
        <f t="shared" si="98"/>
        <v>0</v>
      </c>
      <c r="AE192" s="13">
        <f t="shared" si="99"/>
        <v>0</v>
      </c>
      <c r="AF192" s="13">
        <f t="shared" si="100"/>
        <v>0</v>
      </c>
      <c r="AG192" s="13">
        <f t="shared" si="101"/>
        <v>0</v>
      </c>
      <c r="AH192" s="13">
        <f t="shared" si="102"/>
        <v>0</v>
      </c>
      <c r="AI192" s="21" t="s">
        <v>103</v>
      </c>
      <c r="AJ192" s="13">
        <f t="shared" si="103"/>
        <v>0</v>
      </c>
      <c r="AK192" s="13">
        <f t="shared" si="104"/>
        <v>0</v>
      </c>
      <c r="AL192" s="13">
        <f t="shared" si="105"/>
        <v>0</v>
      </c>
      <c r="AN192" s="13">
        <v>21</v>
      </c>
      <c r="AO192" s="13">
        <f>J192*1</f>
        <v>0</v>
      </c>
      <c r="AP192" s="13">
        <f>J192*(1-1)</f>
        <v>0</v>
      </c>
      <c r="AQ192" s="32" t="s">
        <v>1231</v>
      </c>
      <c r="AV192" s="13">
        <f t="shared" si="106"/>
        <v>0</v>
      </c>
      <c r="AW192" s="13">
        <f t="shared" si="107"/>
        <v>0</v>
      </c>
      <c r="AX192" s="13">
        <f t="shared" si="108"/>
        <v>0</v>
      </c>
      <c r="AY192" s="32" t="s">
        <v>1149</v>
      </c>
      <c r="AZ192" s="32" t="s">
        <v>422</v>
      </c>
      <c r="BA192" s="21" t="s">
        <v>854</v>
      </c>
      <c r="BC192" s="13">
        <f t="shared" si="109"/>
        <v>0</v>
      </c>
      <c r="BD192" s="13">
        <f t="shared" si="110"/>
        <v>0</v>
      </c>
      <c r="BE192" s="13">
        <v>0</v>
      </c>
      <c r="BF192" s="13">
        <f>192</f>
        <v>192</v>
      </c>
      <c r="BH192" s="13">
        <f t="shared" si="111"/>
        <v>0</v>
      </c>
      <c r="BI192" s="13">
        <f t="shared" si="112"/>
        <v>0</v>
      </c>
      <c r="BJ192" s="13">
        <f t="shared" si="113"/>
        <v>0</v>
      </c>
      <c r="BK192" s="13"/>
      <c r="BL192" s="13"/>
    </row>
    <row r="193" spans="1:64" ht="15" customHeight="1">
      <c r="A193" s="11" t="s">
        <v>1153</v>
      </c>
      <c r="B193" s="48" t="s">
        <v>103</v>
      </c>
      <c r="C193" s="48" t="s">
        <v>1070</v>
      </c>
      <c r="D193" s="61" t="s">
        <v>845</v>
      </c>
      <c r="E193" s="61"/>
      <c r="F193" s="61"/>
      <c r="G193" s="61"/>
      <c r="H193" s="48" t="s">
        <v>553</v>
      </c>
      <c r="I193" s="13">
        <v>942.5266</v>
      </c>
      <c r="J193" s="13">
        <v>0</v>
      </c>
      <c r="K193" s="13">
        <f t="shared" si="92"/>
        <v>0</v>
      </c>
      <c r="L193" s="13">
        <f t="shared" si="93"/>
        <v>0</v>
      </c>
      <c r="M193" s="13">
        <f t="shared" si="94"/>
        <v>0</v>
      </c>
      <c r="N193" s="13">
        <v>0</v>
      </c>
      <c r="O193" s="10" t="s">
        <v>851</v>
      </c>
      <c r="Z193" s="13">
        <f t="shared" si="95"/>
        <v>0</v>
      </c>
      <c r="AB193" s="13">
        <f t="shared" si="96"/>
        <v>0</v>
      </c>
      <c r="AC193" s="13">
        <f t="shared" si="97"/>
        <v>0</v>
      </c>
      <c r="AD193" s="13">
        <f t="shared" si="98"/>
        <v>0</v>
      </c>
      <c r="AE193" s="13">
        <f t="shared" si="99"/>
        <v>0</v>
      </c>
      <c r="AF193" s="13">
        <f t="shared" si="100"/>
        <v>0</v>
      </c>
      <c r="AG193" s="13">
        <f t="shared" si="101"/>
        <v>0</v>
      </c>
      <c r="AH193" s="13">
        <f t="shared" si="102"/>
        <v>0</v>
      </c>
      <c r="AI193" s="21" t="s">
        <v>103</v>
      </c>
      <c r="AJ193" s="13">
        <f t="shared" si="103"/>
        <v>0</v>
      </c>
      <c r="AK193" s="13">
        <f t="shared" si="104"/>
        <v>0</v>
      </c>
      <c r="AL193" s="13">
        <f t="shared" si="105"/>
        <v>0</v>
      </c>
      <c r="AN193" s="13">
        <v>21</v>
      </c>
      <c r="AO193" s="13">
        <f>J193*0</f>
        <v>0</v>
      </c>
      <c r="AP193" s="13">
        <f>J193*(1-0)</f>
        <v>0</v>
      </c>
      <c r="AQ193" s="32" t="s">
        <v>654</v>
      </c>
      <c r="AV193" s="13">
        <f t="shared" si="106"/>
        <v>0</v>
      </c>
      <c r="AW193" s="13">
        <f t="shared" si="107"/>
        <v>0</v>
      </c>
      <c r="AX193" s="13">
        <f t="shared" si="108"/>
        <v>0</v>
      </c>
      <c r="AY193" s="32" t="s">
        <v>1149</v>
      </c>
      <c r="AZ193" s="32" t="s">
        <v>422</v>
      </c>
      <c r="BA193" s="21" t="s">
        <v>854</v>
      </c>
      <c r="BC193" s="13">
        <f t="shared" si="109"/>
        <v>0</v>
      </c>
      <c r="BD193" s="13">
        <f t="shared" si="110"/>
        <v>0</v>
      </c>
      <c r="BE193" s="13">
        <v>0</v>
      </c>
      <c r="BF193" s="13">
        <f>193</f>
        <v>193</v>
      </c>
      <c r="BH193" s="13">
        <f t="shared" si="111"/>
        <v>0</v>
      </c>
      <c r="BI193" s="13">
        <f t="shared" si="112"/>
        <v>0</v>
      </c>
      <c r="BJ193" s="13">
        <f t="shared" si="113"/>
        <v>0</v>
      </c>
      <c r="BK193" s="13"/>
      <c r="BL193" s="13"/>
    </row>
    <row r="194" spans="1:64" ht="15" customHeight="1">
      <c r="A194" s="11" t="s">
        <v>290</v>
      </c>
      <c r="B194" s="48" t="s">
        <v>103</v>
      </c>
      <c r="C194" s="48" t="s">
        <v>1351</v>
      </c>
      <c r="D194" s="61" t="s">
        <v>896</v>
      </c>
      <c r="E194" s="61"/>
      <c r="F194" s="61"/>
      <c r="G194" s="61"/>
      <c r="H194" s="48" t="s">
        <v>1172</v>
      </c>
      <c r="I194" s="13">
        <v>350</v>
      </c>
      <c r="J194" s="13">
        <v>0</v>
      </c>
      <c r="K194" s="13">
        <f t="shared" si="92"/>
        <v>0</v>
      </c>
      <c r="L194" s="13">
        <f t="shared" si="93"/>
        <v>0</v>
      </c>
      <c r="M194" s="13">
        <f t="shared" si="94"/>
        <v>0</v>
      </c>
      <c r="N194" s="13">
        <v>0.001</v>
      </c>
      <c r="O194" s="10" t="s">
        <v>851</v>
      </c>
      <c r="Z194" s="13">
        <f t="shared" si="95"/>
        <v>0</v>
      </c>
      <c r="AB194" s="13">
        <f t="shared" si="96"/>
        <v>0</v>
      </c>
      <c r="AC194" s="13">
        <f t="shared" si="97"/>
        <v>0</v>
      </c>
      <c r="AD194" s="13">
        <f t="shared" si="98"/>
        <v>0</v>
      </c>
      <c r="AE194" s="13">
        <f t="shared" si="99"/>
        <v>0</v>
      </c>
      <c r="AF194" s="13">
        <f t="shared" si="100"/>
        <v>0</v>
      </c>
      <c r="AG194" s="13">
        <f t="shared" si="101"/>
        <v>0</v>
      </c>
      <c r="AH194" s="13">
        <f t="shared" si="102"/>
        <v>0</v>
      </c>
      <c r="AI194" s="21" t="s">
        <v>103</v>
      </c>
      <c r="AJ194" s="13">
        <f t="shared" si="103"/>
        <v>0</v>
      </c>
      <c r="AK194" s="13">
        <f t="shared" si="104"/>
        <v>0</v>
      </c>
      <c r="AL194" s="13">
        <f t="shared" si="105"/>
        <v>0</v>
      </c>
      <c r="AN194" s="13">
        <v>21</v>
      </c>
      <c r="AO194" s="13">
        <f>J194*1</f>
        <v>0</v>
      </c>
      <c r="AP194" s="13">
        <f>J194*(1-1)</f>
        <v>0</v>
      </c>
      <c r="AQ194" s="32" t="s">
        <v>1231</v>
      </c>
      <c r="AV194" s="13">
        <f t="shared" si="106"/>
        <v>0</v>
      </c>
      <c r="AW194" s="13">
        <f t="shared" si="107"/>
        <v>0</v>
      </c>
      <c r="AX194" s="13">
        <f t="shared" si="108"/>
        <v>0</v>
      </c>
      <c r="AY194" s="32" t="s">
        <v>1149</v>
      </c>
      <c r="AZ194" s="32" t="s">
        <v>422</v>
      </c>
      <c r="BA194" s="21" t="s">
        <v>854</v>
      </c>
      <c r="BC194" s="13">
        <f t="shared" si="109"/>
        <v>0</v>
      </c>
      <c r="BD194" s="13">
        <f t="shared" si="110"/>
        <v>0</v>
      </c>
      <c r="BE194" s="13">
        <v>0</v>
      </c>
      <c r="BF194" s="13">
        <f>194</f>
        <v>194</v>
      </c>
      <c r="BH194" s="13">
        <f t="shared" si="111"/>
        <v>0</v>
      </c>
      <c r="BI194" s="13">
        <f t="shared" si="112"/>
        <v>0</v>
      </c>
      <c r="BJ194" s="13">
        <f t="shared" si="113"/>
        <v>0</v>
      </c>
      <c r="BK194" s="13"/>
      <c r="BL194" s="13"/>
    </row>
    <row r="195" spans="1:15" ht="15" customHeight="1">
      <c r="A195" s="30" t="s">
        <v>862</v>
      </c>
      <c r="B195" s="18" t="s">
        <v>242</v>
      </c>
      <c r="C195" s="18" t="s">
        <v>862</v>
      </c>
      <c r="D195" s="73" t="s">
        <v>1109</v>
      </c>
      <c r="E195" s="73"/>
      <c r="F195" s="73"/>
      <c r="G195" s="73"/>
      <c r="H195" s="15" t="s">
        <v>1148</v>
      </c>
      <c r="I195" s="15" t="s">
        <v>1148</v>
      </c>
      <c r="J195" s="15" t="s">
        <v>1148</v>
      </c>
      <c r="K195" s="56">
        <f>K196+K213+K217+K220+K223+K226+K229+K231+K234+K238+K243+K264+K293+K296+K298</f>
        <v>0</v>
      </c>
      <c r="L195" s="56">
        <f>L196+L213+L217+L220+L223+L226+L229+L231+L234+L238+L243+L264+L293+L296+L298</f>
        <v>0</v>
      </c>
      <c r="M195" s="56">
        <f>M196+M213+M217+M220+M223+M226+M229+M231+M234+M238+M243+M264+M293+M296+M298</f>
        <v>0</v>
      </c>
      <c r="N195" s="21" t="s">
        <v>862</v>
      </c>
      <c r="O195" s="47" t="s">
        <v>862</v>
      </c>
    </row>
    <row r="196" spans="1:47" ht="15" customHeight="1">
      <c r="A196" s="30" t="s">
        <v>862</v>
      </c>
      <c r="B196" s="18" t="s">
        <v>242</v>
      </c>
      <c r="C196" s="18" t="s">
        <v>1031</v>
      </c>
      <c r="D196" s="73" t="s">
        <v>675</v>
      </c>
      <c r="E196" s="73"/>
      <c r="F196" s="73"/>
      <c r="G196" s="73"/>
      <c r="H196" s="15" t="s">
        <v>1148</v>
      </c>
      <c r="I196" s="15" t="s">
        <v>1148</v>
      </c>
      <c r="J196" s="15" t="s">
        <v>1148</v>
      </c>
      <c r="K196" s="56">
        <f>SUM(K197:K212)</f>
        <v>0</v>
      </c>
      <c r="L196" s="56">
        <f>SUM(L197:L212)</f>
        <v>0</v>
      </c>
      <c r="M196" s="56">
        <f>SUM(M197:M212)</f>
        <v>0</v>
      </c>
      <c r="N196" s="21" t="s">
        <v>862</v>
      </c>
      <c r="O196" s="47" t="s">
        <v>862</v>
      </c>
      <c r="AI196" s="21" t="s">
        <v>242</v>
      </c>
      <c r="AS196" s="56">
        <f>SUM(AJ197:AJ212)</f>
        <v>0</v>
      </c>
      <c r="AT196" s="56">
        <f>SUM(AK197:AK212)</f>
        <v>0</v>
      </c>
      <c r="AU196" s="56">
        <f>SUM(AL197:AL212)</f>
        <v>0</v>
      </c>
    </row>
    <row r="197" spans="1:64" ht="15" customHeight="1">
      <c r="A197" s="11" t="s">
        <v>182</v>
      </c>
      <c r="B197" s="48" t="s">
        <v>242</v>
      </c>
      <c r="C197" s="48" t="s">
        <v>581</v>
      </c>
      <c r="D197" s="61" t="s">
        <v>754</v>
      </c>
      <c r="E197" s="61"/>
      <c r="F197" s="61"/>
      <c r="G197" s="61"/>
      <c r="H197" s="48" t="s">
        <v>530</v>
      </c>
      <c r="I197" s="13">
        <v>70</v>
      </c>
      <c r="J197" s="13">
        <v>0</v>
      </c>
      <c r="K197" s="13">
        <f aca="true" t="shared" si="114" ref="K197:K212">I197*AO197</f>
        <v>0</v>
      </c>
      <c r="L197" s="13">
        <f aca="true" t="shared" si="115" ref="L197:L212">I197*AP197</f>
        <v>0</v>
      </c>
      <c r="M197" s="13">
        <f aca="true" t="shared" si="116" ref="M197:M212">I197*J197</f>
        <v>0</v>
      </c>
      <c r="N197" s="13">
        <v>0</v>
      </c>
      <c r="O197" s="10" t="s">
        <v>851</v>
      </c>
      <c r="Z197" s="13">
        <f aca="true" t="shared" si="117" ref="Z197:Z212">IF(AQ197="5",BJ197,0)</f>
        <v>0</v>
      </c>
      <c r="AB197" s="13">
        <f aca="true" t="shared" si="118" ref="AB197:AB212">IF(AQ197="1",BH197,0)</f>
        <v>0</v>
      </c>
      <c r="AC197" s="13">
        <f aca="true" t="shared" si="119" ref="AC197:AC212">IF(AQ197="1",BI197,0)</f>
        <v>0</v>
      </c>
      <c r="AD197" s="13">
        <f aca="true" t="shared" si="120" ref="AD197:AD212">IF(AQ197="7",BH197,0)</f>
        <v>0</v>
      </c>
      <c r="AE197" s="13">
        <f aca="true" t="shared" si="121" ref="AE197:AE212">IF(AQ197="7",BI197,0)</f>
        <v>0</v>
      </c>
      <c r="AF197" s="13">
        <f aca="true" t="shared" si="122" ref="AF197:AF212">IF(AQ197="2",BH197,0)</f>
        <v>0</v>
      </c>
      <c r="AG197" s="13">
        <f aca="true" t="shared" si="123" ref="AG197:AG212">IF(AQ197="2",BI197,0)</f>
        <v>0</v>
      </c>
      <c r="AH197" s="13">
        <f aca="true" t="shared" si="124" ref="AH197:AH212">IF(AQ197="0",BJ197,0)</f>
        <v>0</v>
      </c>
      <c r="AI197" s="21" t="s">
        <v>242</v>
      </c>
      <c r="AJ197" s="13">
        <f aca="true" t="shared" si="125" ref="AJ197:AJ212">IF(AN197=0,M197,0)</f>
        <v>0</v>
      </c>
      <c r="AK197" s="13">
        <f aca="true" t="shared" si="126" ref="AK197:AK212">IF(AN197=15,M197,0)</f>
        <v>0</v>
      </c>
      <c r="AL197" s="13">
        <f aca="true" t="shared" si="127" ref="AL197:AL212">IF(AN197=21,M197,0)</f>
        <v>0</v>
      </c>
      <c r="AN197" s="13">
        <v>21</v>
      </c>
      <c r="AO197" s="13">
        <f>J197*0</f>
        <v>0</v>
      </c>
      <c r="AP197" s="13">
        <f>J197*(1-0)</f>
        <v>0</v>
      </c>
      <c r="AQ197" s="32" t="s">
        <v>1231</v>
      </c>
      <c r="AV197" s="13">
        <f aca="true" t="shared" si="128" ref="AV197:AV212">AW197+AX197</f>
        <v>0</v>
      </c>
      <c r="AW197" s="13">
        <f aca="true" t="shared" si="129" ref="AW197:AW212">I197*AO197</f>
        <v>0</v>
      </c>
      <c r="AX197" s="13">
        <f aca="true" t="shared" si="130" ref="AX197:AX212">I197*AP197</f>
        <v>0</v>
      </c>
      <c r="AY197" s="32" t="s">
        <v>133</v>
      </c>
      <c r="AZ197" s="32" t="s">
        <v>385</v>
      </c>
      <c r="BA197" s="21" t="s">
        <v>902</v>
      </c>
      <c r="BC197" s="13">
        <f aca="true" t="shared" si="131" ref="BC197:BC212">AW197+AX197</f>
        <v>0</v>
      </c>
      <c r="BD197" s="13">
        <f aca="true" t="shared" si="132" ref="BD197:BD212">J197/(100-BE197)*100</f>
        <v>0</v>
      </c>
      <c r="BE197" s="13">
        <v>0</v>
      </c>
      <c r="BF197" s="13">
        <f>197</f>
        <v>197</v>
      </c>
      <c r="BH197" s="13">
        <f aca="true" t="shared" si="133" ref="BH197:BH212">I197*AO197</f>
        <v>0</v>
      </c>
      <c r="BI197" s="13">
        <f aca="true" t="shared" si="134" ref="BI197:BI212">I197*AP197</f>
        <v>0</v>
      </c>
      <c r="BJ197" s="13">
        <f aca="true" t="shared" si="135" ref="BJ197:BJ212">I197*J197</f>
        <v>0</v>
      </c>
      <c r="BK197" s="13"/>
      <c r="BL197" s="13">
        <v>11</v>
      </c>
    </row>
    <row r="198" spans="1:64" ht="15" customHeight="1">
      <c r="A198" s="11" t="s">
        <v>347</v>
      </c>
      <c r="B198" s="48" t="s">
        <v>242</v>
      </c>
      <c r="C198" s="48" t="s">
        <v>349</v>
      </c>
      <c r="D198" s="61" t="s">
        <v>1165</v>
      </c>
      <c r="E198" s="61"/>
      <c r="F198" s="61"/>
      <c r="G198" s="61"/>
      <c r="H198" s="48" t="s">
        <v>1018</v>
      </c>
      <c r="I198" s="13">
        <v>15</v>
      </c>
      <c r="J198" s="13">
        <v>0</v>
      </c>
      <c r="K198" s="13">
        <f t="shared" si="114"/>
        <v>0</v>
      </c>
      <c r="L198" s="13">
        <f t="shared" si="115"/>
        <v>0</v>
      </c>
      <c r="M198" s="13">
        <f t="shared" si="116"/>
        <v>0</v>
      </c>
      <c r="N198" s="13">
        <v>0.01721</v>
      </c>
      <c r="O198" s="10" t="s">
        <v>851</v>
      </c>
      <c r="Z198" s="13">
        <f t="shared" si="117"/>
        <v>0</v>
      </c>
      <c r="AB198" s="13">
        <f t="shared" si="118"/>
        <v>0</v>
      </c>
      <c r="AC198" s="13">
        <f t="shared" si="119"/>
        <v>0</v>
      </c>
      <c r="AD198" s="13">
        <f t="shared" si="120"/>
        <v>0</v>
      </c>
      <c r="AE198" s="13">
        <f t="shared" si="121"/>
        <v>0</v>
      </c>
      <c r="AF198" s="13">
        <f t="shared" si="122"/>
        <v>0</v>
      </c>
      <c r="AG198" s="13">
        <f t="shared" si="123"/>
        <v>0</v>
      </c>
      <c r="AH198" s="13">
        <f t="shared" si="124"/>
        <v>0</v>
      </c>
      <c r="AI198" s="21" t="s">
        <v>242</v>
      </c>
      <c r="AJ198" s="13">
        <f t="shared" si="125"/>
        <v>0</v>
      </c>
      <c r="AK198" s="13">
        <f t="shared" si="126"/>
        <v>0</v>
      </c>
      <c r="AL198" s="13">
        <f t="shared" si="127"/>
        <v>0</v>
      </c>
      <c r="AN198" s="13">
        <v>21</v>
      </c>
      <c r="AO198" s="13">
        <f>J198*0.415735815602837</f>
        <v>0</v>
      </c>
      <c r="AP198" s="13">
        <f>J198*(1-0.415735815602837)</f>
        <v>0</v>
      </c>
      <c r="AQ198" s="32" t="s">
        <v>1231</v>
      </c>
      <c r="AV198" s="13">
        <f t="shared" si="128"/>
        <v>0</v>
      </c>
      <c r="AW198" s="13">
        <f t="shared" si="129"/>
        <v>0</v>
      </c>
      <c r="AX198" s="13">
        <f t="shared" si="130"/>
        <v>0</v>
      </c>
      <c r="AY198" s="32" t="s">
        <v>133</v>
      </c>
      <c r="AZ198" s="32" t="s">
        <v>385</v>
      </c>
      <c r="BA198" s="21" t="s">
        <v>902</v>
      </c>
      <c r="BC198" s="13">
        <f t="shared" si="131"/>
        <v>0</v>
      </c>
      <c r="BD198" s="13">
        <f t="shared" si="132"/>
        <v>0</v>
      </c>
      <c r="BE198" s="13">
        <v>0</v>
      </c>
      <c r="BF198" s="13">
        <f>198</f>
        <v>198</v>
      </c>
      <c r="BH198" s="13">
        <f t="shared" si="133"/>
        <v>0</v>
      </c>
      <c r="BI198" s="13">
        <f t="shared" si="134"/>
        <v>0</v>
      </c>
      <c r="BJ198" s="13">
        <f t="shared" si="135"/>
        <v>0</v>
      </c>
      <c r="BK198" s="13"/>
      <c r="BL198" s="13">
        <v>11</v>
      </c>
    </row>
    <row r="199" spans="1:64" ht="15" customHeight="1">
      <c r="A199" s="11" t="s">
        <v>377</v>
      </c>
      <c r="B199" s="48" t="s">
        <v>242</v>
      </c>
      <c r="C199" s="48" t="s">
        <v>1198</v>
      </c>
      <c r="D199" s="61" t="s">
        <v>431</v>
      </c>
      <c r="E199" s="61"/>
      <c r="F199" s="61"/>
      <c r="G199" s="61"/>
      <c r="H199" s="48" t="s">
        <v>70</v>
      </c>
      <c r="I199" s="13">
        <v>70</v>
      </c>
      <c r="J199" s="13">
        <v>0</v>
      </c>
      <c r="K199" s="13">
        <f t="shared" si="114"/>
        <v>0</v>
      </c>
      <c r="L199" s="13">
        <f t="shared" si="115"/>
        <v>0</v>
      </c>
      <c r="M199" s="13">
        <f t="shared" si="116"/>
        <v>0</v>
      </c>
      <c r="N199" s="13">
        <v>0</v>
      </c>
      <c r="O199" s="10" t="s">
        <v>851</v>
      </c>
      <c r="Z199" s="13">
        <f t="shared" si="117"/>
        <v>0</v>
      </c>
      <c r="AB199" s="13">
        <f t="shared" si="118"/>
        <v>0</v>
      </c>
      <c r="AC199" s="13">
        <f t="shared" si="119"/>
        <v>0</v>
      </c>
      <c r="AD199" s="13">
        <f t="shared" si="120"/>
        <v>0</v>
      </c>
      <c r="AE199" s="13">
        <f t="shared" si="121"/>
        <v>0</v>
      </c>
      <c r="AF199" s="13">
        <f t="shared" si="122"/>
        <v>0</v>
      </c>
      <c r="AG199" s="13">
        <f t="shared" si="123"/>
        <v>0</v>
      </c>
      <c r="AH199" s="13">
        <f t="shared" si="124"/>
        <v>0</v>
      </c>
      <c r="AI199" s="21" t="s">
        <v>242</v>
      </c>
      <c r="AJ199" s="13">
        <f t="shared" si="125"/>
        <v>0</v>
      </c>
      <c r="AK199" s="13">
        <f t="shared" si="126"/>
        <v>0</v>
      </c>
      <c r="AL199" s="13">
        <f t="shared" si="127"/>
        <v>0</v>
      </c>
      <c r="AN199" s="13">
        <v>21</v>
      </c>
      <c r="AO199" s="13">
        <f>J199*0</f>
        <v>0</v>
      </c>
      <c r="AP199" s="13">
        <f>J199*(1-0)</f>
        <v>0</v>
      </c>
      <c r="AQ199" s="32" t="s">
        <v>1231</v>
      </c>
      <c r="AV199" s="13">
        <f t="shared" si="128"/>
        <v>0</v>
      </c>
      <c r="AW199" s="13">
        <f t="shared" si="129"/>
        <v>0</v>
      </c>
      <c r="AX199" s="13">
        <f t="shared" si="130"/>
        <v>0</v>
      </c>
      <c r="AY199" s="32" t="s">
        <v>133</v>
      </c>
      <c r="AZ199" s="32" t="s">
        <v>385</v>
      </c>
      <c r="BA199" s="21" t="s">
        <v>902</v>
      </c>
      <c r="BC199" s="13">
        <f t="shared" si="131"/>
        <v>0</v>
      </c>
      <c r="BD199" s="13">
        <f t="shared" si="132"/>
        <v>0</v>
      </c>
      <c r="BE199" s="13">
        <v>0</v>
      </c>
      <c r="BF199" s="13">
        <f>199</f>
        <v>199</v>
      </c>
      <c r="BH199" s="13">
        <f t="shared" si="133"/>
        <v>0</v>
      </c>
      <c r="BI199" s="13">
        <f t="shared" si="134"/>
        <v>0</v>
      </c>
      <c r="BJ199" s="13">
        <f t="shared" si="135"/>
        <v>0</v>
      </c>
      <c r="BK199" s="13"/>
      <c r="BL199" s="13">
        <v>11</v>
      </c>
    </row>
    <row r="200" spans="1:64" ht="15" customHeight="1">
      <c r="A200" s="11" t="s">
        <v>250</v>
      </c>
      <c r="B200" s="48" t="s">
        <v>242</v>
      </c>
      <c r="C200" s="48" t="s">
        <v>907</v>
      </c>
      <c r="D200" s="61" t="s">
        <v>778</v>
      </c>
      <c r="E200" s="61"/>
      <c r="F200" s="61"/>
      <c r="G200" s="61"/>
      <c r="H200" s="48" t="s">
        <v>1018</v>
      </c>
      <c r="I200" s="13">
        <v>19.5</v>
      </c>
      <c r="J200" s="13">
        <v>0</v>
      </c>
      <c r="K200" s="13">
        <f t="shared" si="114"/>
        <v>0</v>
      </c>
      <c r="L200" s="13">
        <f t="shared" si="115"/>
        <v>0</v>
      </c>
      <c r="M200" s="13">
        <f t="shared" si="116"/>
        <v>0</v>
      </c>
      <c r="N200" s="13">
        <v>0.02478</v>
      </c>
      <c r="O200" s="10" t="s">
        <v>851</v>
      </c>
      <c r="Z200" s="13">
        <f t="shared" si="117"/>
        <v>0</v>
      </c>
      <c r="AB200" s="13">
        <f t="shared" si="118"/>
        <v>0</v>
      </c>
      <c r="AC200" s="13">
        <f t="shared" si="119"/>
        <v>0</v>
      </c>
      <c r="AD200" s="13">
        <f t="shared" si="120"/>
        <v>0</v>
      </c>
      <c r="AE200" s="13">
        <f t="shared" si="121"/>
        <v>0</v>
      </c>
      <c r="AF200" s="13">
        <f t="shared" si="122"/>
        <v>0</v>
      </c>
      <c r="AG200" s="13">
        <f t="shared" si="123"/>
        <v>0</v>
      </c>
      <c r="AH200" s="13">
        <f t="shared" si="124"/>
        <v>0</v>
      </c>
      <c r="AI200" s="21" t="s">
        <v>242</v>
      </c>
      <c r="AJ200" s="13">
        <f t="shared" si="125"/>
        <v>0</v>
      </c>
      <c r="AK200" s="13">
        <f t="shared" si="126"/>
        <v>0</v>
      </c>
      <c r="AL200" s="13">
        <f t="shared" si="127"/>
        <v>0</v>
      </c>
      <c r="AN200" s="13">
        <v>21</v>
      </c>
      <c r="AO200" s="13">
        <f>J200*0.352956636005256</f>
        <v>0</v>
      </c>
      <c r="AP200" s="13">
        <f>J200*(1-0.352956636005256)</f>
        <v>0</v>
      </c>
      <c r="AQ200" s="32" t="s">
        <v>1231</v>
      </c>
      <c r="AV200" s="13">
        <f t="shared" si="128"/>
        <v>0</v>
      </c>
      <c r="AW200" s="13">
        <f t="shared" si="129"/>
        <v>0</v>
      </c>
      <c r="AX200" s="13">
        <f t="shared" si="130"/>
        <v>0</v>
      </c>
      <c r="AY200" s="32" t="s">
        <v>133</v>
      </c>
      <c r="AZ200" s="32" t="s">
        <v>385</v>
      </c>
      <c r="BA200" s="21" t="s">
        <v>902</v>
      </c>
      <c r="BC200" s="13">
        <f t="shared" si="131"/>
        <v>0</v>
      </c>
      <c r="BD200" s="13">
        <f t="shared" si="132"/>
        <v>0</v>
      </c>
      <c r="BE200" s="13">
        <v>0</v>
      </c>
      <c r="BF200" s="13">
        <f>200</f>
        <v>200</v>
      </c>
      <c r="BH200" s="13">
        <f t="shared" si="133"/>
        <v>0</v>
      </c>
      <c r="BI200" s="13">
        <f t="shared" si="134"/>
        <v>0</v>
      </c>
      <c r="BJ200" s="13">
        <f t="shared" si="135"/>
        <v>0</v>
      </c>
      <c r="BK200" s="13"/>
      <c r="BL200" s="13">
        <v>11</v>
      </c>
    </row>
    <row r="201" spans="1:64" ht="15" customHeight="1">
      <c r="A201" s="11" t="s">
        <v>484</v>
      </c>
      <c r="B201" s="48" t="s">
        <v>242</v>
      </c>
      <c r="C201" s="48" t="s">
        <v>1238</v>
      </c>
      <c r="D201" s="61" t="s">
        <v>1058</v>
      </c>
      <c r="E201" s="61"/>
      <c r="F201" s="61"/>
      <c r="G201" s="61"/>
      <c r="H201" s="48" t="s">
        <v>1018</v>
      </c>
      <c r="I201" s="13">
        <v>16</v>
      </c>
      <c r="J201" s="13">
        <v>0</v>
      </c>
      <c r="K201" s="13">
        <f t="shared" si="114"/>
        <v>0</v>
      </c>
      <c r="L201" s="13">
        <f t="shared" si="115"/>
        <v>0</v>
      </c>
      <c r="M201" s="13">
        <f t="shared" si="116"/>
        <v>0</v>
      </c>
      <c r="N201" s="13">
        <v>0.01271</v>
      </c>
      <c r="O201" s="10" t="s">
        <v>851</v>
      </c>
      <c r="Z201" s="13">
        <f t="shared" si="117"/>
        <v>0</v>
      </c>
      <c r="AB201" s="13">
        <f t="shared" si="118"/>
        <v>0</v>
      </c>
      <c r="AC201" s="13">
        <f t="shared" si="119"/>
        <v>0</v>
      </c>
      <c r="AD201" s="13">
        <f t="shared" si="120"/>
        <v>0</v>
      </c>
      <c r="AE201" s="13">
        <f t="shared" si="121"/>
        <v>0</v>
      </c>
      <c r="AF201" s="13">
        <f t="shared" si="122"/>
        <v>0</v>
      </c>
      <c r="AG201" s="13">
        <f t="shared" si="123"/>
        <v>0</v>
      </c>
      <c r="AH201" s="13">
        <f t="shared" si="124"/>
        <v>0</v>
      </c>
      <c r="AI201" s="21" t="s">
        <v>242</v>
      </c>
      <c r="AJ201" s="13">
        <f t="shared" si="125"/>
        <v>0</v>
      </c>
      <c r="AK201" s="13">
        <f t="shared" si="126"/>
        <v>0</v>
      </c>
      <c r="AL201" s="13">
        <f t="shared" si="127"/>
        <v>0</v>
      </c>
      <c r="AN201" s="13">
        <v>21</v>
      </c>
      <c r="AO201" s="13">
        <f>J201*0.256844997804501</f>
        <v>0</v>
      </c>
      <c r="AP201" s="13">
        <f>J201*(1-0.256844997804501)</f>
        <v>0</v>
      </c>
      <c r="AQ201" s="32" t="s">
        <v>1231</v>
      </c>
      <c r="AV201" s="13">
        <f t="shared" si="128"/>
        <v>0</v>
      </c>
      <c r="AW201" s="13">
        <f t="shared" si="129"/>
        <v>0</v>
      </c>
      <c r="AX201" s="13">
        <f t="shared" si="130"/>
        <v>0</v>
      </c>
      <c r="AY201" s="32" t="s">
        <v>133</v>
      </c>
      <c r="AZ201" s="32" t="s">
        <v>385</v>
      </c>
      <c r="BA201" s="21" t="s">
        <v>902</v>
      </c>
      <c r="BC201" s="13">
        <f t="shared" si="131"/>
        <v>0</v>
      </c>
      <c r="BD201" s="13">
        <f t="shared" si="132"/>
        <v>0</v>
      </c>
      <c r="BE201" s="13">
        <v>0</v>
      </c>
      <c r="BF201" s="13">
        <f>201</f>
        <v>201</v>
      </c>
      <c r="BH201" s="13">
        <f t="shared" si="133"/>
        <v>0</v>
      </c>
      <c r="BI201" s="13">
        <f t="shared" si="134"/>
        <v>0</v>
      </c>
      <c r="BJ201" s="13">
        <f t="shared" si="135"/>
        <v>0</v>
      </c>
      <c r="BK201" s="13"/>
      <c r="BL201" s="13">
        <v>11</v>
      </c>
    </row>
    <row r="202" spans="1:64" ht="15" customHeight="1">
      <c r="A202" s="11" t="s">
        <v>465</v>
      </c>
      <c r="B202" s="48" t="s">
        <v>242</v>
      </c>
      <c r="C202" s="48" t="s">
        <v>1038</v>
      </c>
      <c r="D202" s="61" t="s">
        <v>1167</v>
      </c>
      <c r="E202" s="61"/>
      <c r="F202" s="61"/>
      <c r="G202" s="61"/>
      <c r="H202" s="48" t="s">
        <v>1018</v>
      </c>
      <c r="I202" s="13">
        <v>52.5</v>
      </c>
      <c r="J202" s="13">
        <v>0</v>
      </c>
      <c r="K202" s="13">
        <f t="shared" si="114"/>
        <v>0</v>
      </c>
      <c r="L202" s="13">
        <f t="shared" si="115"/>
        <v>0</v>
      </c>
      <c r="M202" s="13">
        <f t="shared" si="116"/>
        <v>0</v>
      </c>
      <c r="N202" s="13">
        <v>0.00869</v>
      </c>
      <c r="O202" s="10" t="s">
        <v>851</v>
      </c>
      <c r="Z202" s="13">
        <f t="shared" si="117"/>
        <v>0</v>
      </c>
      <c r="AB202" s="13">
        <f t="shared" si="118"/>
        <v>0</v>
      </c>
      <c r="AC202" s="13">
        <f t="shared" si="119"/>
        <v>0</v>
      </c>
      <c r="AD202" s="13">
        <f t="shared" si="120"/>
        <v>0</v>
      </c>
      <c r="AE202" s="13">
        <f t="shared" si="121"/>
        <v>0</v>
      </c>
      <c r="AF202" s="13">
        <f t="shared" si="122"/>
        <v>0</v>
      </c>
      <c r="AG202" s="13">
        <f t="shared" si="123"/>
        <v>0</v>
      </c>
      <c r="AH202" s="13">
        <f t="shared" si="124"/>
        <v>0</v>
      </c>
      <c r="AI202" s="21" t="s">
        <v>242</v>
      </c>
      <c r="AJ202" s="13">
        <f t="shared" si="125"/>
        <v>0</v>
      </c>
      <c r="AK202" s="13">
        <f t="shared" si="126"/>
        <v>0</v>
      </c>
      <c r="AL202" s="13">
        <f t="shared" si="127"/>
        <v>0</v>
      </c>
      <c r="AN202" s="13">
        <v>21</v>
      </c>
      <c r="AO202" s="13">
        <f>J202*0.282187147688839</f>
        <v>0</v>
      </c>
      <c r="AP202" s="13">
        <f>J202*(1-0.282187147688839)</f>
        <v>0</v>
      </c>
      <c r="AQ202" s="32" t="s">
        <v>1231</v>
      </c>
      <c r="AV202" s="13">
        <f t="shared" si="128"/>
        <v>0</v>
      </c>
      <c r="AW202" s="13">
        <f t="shared" si="129"/>
        <v>0</v>
      </c>
      <c r="AX202" s="13">
        <f t="shared" si="130"/>
        <v>0</v>
      </c>
      <c r="AY202" s="32" t="s">
        <v>133</v>
      </c>
      <c r="AZ202" s="32" t="s">
        <v>385</v>
      </c>
      <c r="BA202" s="21" t="s">
        <v>902</v>
      </c>
      <c r="BC202" s="13">
        <f t="shared" si="131"/>
        <v>0</v>
      </c>
      <c r="BD202" s="13">
        <f t="shared" si="132"/>
        <v>0</v>
      </c>
      <c r="BE202" s="13">
        <v>0</v>
      </c>
      <c r="BF202" s="13">
        <f>202</f>
        <v>202</v>
      </c>
      <c r="BH202" s="13">
        <f t="shared" si="133"/>
        <v>0</v>
      </c>
      <c r="BI202" s="13">
        <f t="shared" si="134"/>
        <v>0</v>
      </c>
      <c r="BJ202" s="13">
        <f t="shared" si="135"/>
        <v>0</v>
      </c>
      <c r="BK202" s="13"/>
      <c r="BL202" s="13">
        <v>11</v>
      </c>
    </row>
    <row r="203" spans="1:64" ht="15" customHeight="1">
      <c r="A203" s="11" t="s">
        <v>671</v>
      </c>
      <c r="B203" s="48" t="s">
        <v>242</v>
      </c>
      <c r="C203" s="48" t="s">
        <v>1251</v>
      </c>
      <c r="D203" s="61" t="s">
        <v>954</v>
      </c>
      <c r="E203" s="61"/>
      <c r="F203" s="61"/>
      <c r="G203" s="61"/>
      <c r="H203" s="48" t="s">
        <v>1018</v>
      </c>
      <c r="I203" s="13">
        <v>130</v>
      </c>
      <c r="J203" s="13">
        <v>0</v>
      </c>
      <c r="K203" s="13">
        <f t="shared" si="114"/>
        <v>0</v>
      </c>
      <c r="L203" s="13">
        <f t="shared" si="115"/>
        <v>0</v>
      </c>
      <c r="M203" s="13">
        <f t="shared" si="116"/>
        <v>0</v>
      </c>
      <c r="N203" s="13">
        <v>0</v>
      </c>
      <c r="O203" s="10" t="s">
        <v>851</v>
      </c>
      <c r="Z203" s="13">
        <f t="shared" si="117"/>
        <v>0</v>
      </c>
      <c r="AB203" s="13">
        <f t="shared" si="118"/>
        <v>0</v>
      </c>
      <c r="AC203" s="13">
        <f t="shared" si="119"/>
        <v>0</v>
      </c>
      <c r="AD203" s="13">
        <f t="shared" si="120"/>
        <v>0</v>
      </c>
      <c r="AE203" s="13">
        <f t="shared" si="121"/>
        <v>0</v>
      </c>
      <c r="AF203" s="13">
        <f t="shared" si="122"/>
        <v>0</v>
      </c>
      <c r="AG203" s="13">
        <f t="shared" si="123"/>
        <v>0</v>
      </c>
      <c r="AH203" s="13">
        <f t="shared" si="124"/>
        <v>0</v>
      </c>
      <c r="AI203" s="21" t="s">
        <v>242</v>
      </c>
      <c r="AJ203" s="13">
        <f t="shared" si="125"/>
        <v>0</v>
      </c>
      <c r="AK203" s="13">
        <f t="shared" si="126"/>
        <v>0</v>
      </c>
      <c r="AL203" s="13">
        <f t="shared" si="127"/>
        <v>0</v>
      </c>
      <c r="AN203" s="13">
        <v>21</v>
      </c>
      <c r="AO203" s="13">
        <f aca="true" t="shared" si="136" ref="AO203:AO212">J203*0</f>
        <v>0</v>
      </c>
      <c r="AP203" s="13">
        <f aca="true" t="shared" si="137" ref="AP203:AP212">J203*(1-0)</f>
        <v>0</v>
      </c>
      <c r="AQ203" s="32" t="s">
        <v>1231</v>
      </c>
      <c r="AV203" s="13">
        <f t="shared" si="128"/>
        <v>0</v>
      </c>
      <c r="AW203" s="13">
        <f t="shared" si="129"/>
        <v>0</v>
      </c>
      <c r="AX203" s="13">
        <f t="shared" si="130"/>
        <v>0</v>
      </c>
      <c r="AY203" s="32" t="s">
        <v>133</v>
      </c>
      <c r="AZ203" s="32" t="s">
        <v>385</v>
      </c>
      <c r="BA203" s="21" t="s">
        <v>902</v>
      </c>
      <c r="BC203" s="13">
        <f t="shared" si="131"/>
        <v>0</v>
      </c>
      <c r="BD203" s="13">
        <f t="shared" si="132"/>
        <v>0</v>
      </c>
      <c r="BE203" s="13">
        <v>0</v>
      </c>
      <c r="BF203" s="13">
        <f>203</f>
        <v>203</v>
      </c>
      <c r="BH203" s="13">
        <f t="shared" si="133"/>
        <v>0</v>
      </c>
      <c r="BI203" s="13">
        <f t="shared" si="134"/>
        <v>0</v>
      </c>
      <c r="BJ203" s="13">
        <f t="shared" si="135"/>
        <v>0</v>
      </c>
      <c r="BK203" s="13"/>
      <c r="BL203" s="13">
        <v>11</v>
      </c>
    </row>
    <row r="204" spans="1:64" ht="15" customHeight="1">
      <c r="A204" s="11" t="s">
        <v>147</v>
      </c>
      <c r="B204" s="48" t="s">
        <v>242</v>
      </c>
      <c r="C204" s="48" t="s">
        <v>1071</v>
      </c>
      <c r="D204" s="61" t="s">
        <v>203</v>
      </c>
      <c r="E204" s="61"/>
      <c r="F204" s="61"/>
      <c r="G204" s="61"/>
      <c r="H204" s="48" t="s">
        <v>1018</v>
      </c>
      <c r="I204" s="13">
        <v>46</v>
      </c>
      <c r="J204" s="13">
        <v>0</v>
      </c>
      <c r="K204" s="13">
        <f t="shared" si="114"/>
        <v>0</v>
      </c>
      <c r="L204" s="13">
        <f t="shared" si="115"/>
        <v>0</v>
      </c>
      <c r="M204" s="13">
        <f t="shared" si="116"/>
        <v>0</v>
      </c>
      <c r="N204" s="13">
        <v>0</v>
      </c>
      <c r="O204" s="10" t="s">
        <v>851</v>
      </c>
      <c r="Z204" s="13">
        <f t="shared" si="117"/>
        <v>0</v>
      </c>
      <c r="AB204" s="13">
        <f t="shared" si="118"/>
        <v>0</v>
      </c>
      <c r="AC204" s="13">
        <f t="shared" si="119"/>
        <v>0</v>
      </c>
      <c r="AD204" s="13">
        <f t="shared" si="120"/>
        <v>0</v>
      </c>
      <c r="AE204" s="13">
        <f t="shared" si="121"/>
        <v>0</v>
      </c>
      <c r="AF204" s="13">
        <f t="shared" si="122"/>
        <v>0</v>
      </c>
      <c r="AG204" s="13">
        <f t="shared" si="123"/>
        <v>0</v>
      </c>
      <c r="AH204" s="13">
        <f t="shared" si="124"/>
        <v>0</v>
      </c>
      <c r="AI204" s="21" t="s">
        <v>242</v>
      </c>
      <c r="AJ204" s="13">
        <f t="shared" si="125"/>
        <v>0</v>
      </c>
      <c r="AK204" s="13">
        <f t="shared" si="126"/>
        <v>0</v>
      </c>
      <c r="AL204" s="13">
        <f t="shared" si="127"/>
        <v>0</v>
      </c>
      <c r="AN204" s="13">
        <v>21</v>
      </c>
      <c r="AO204" s="13">
        <f t="shared" si="136"/>
        <v>0</v>
      </c>
      <c r="AP204" s="13">
        <f t="shared" si="137"/>
        <v>0</v>
      </c>
      <c r="AQ204" s="32" t="s">
        <v>1231</v>
      </c>
      <c r="AV204" s="13">
        <f t="shared" si="128"/>
        <v>0</v>
      </c>
      <c r="AW204" s="13">
        <f t="shared" si="129"/>
        <v>0</v>
      </c>
      <c r="AX204" s="13">
        <f t="shared" si="130"/>
        <v>0</v>
      </c>
      <c r="AY204" s="32" t="s">
        <v>133</v>
      </c>
      <c r="AZ204" s="32" t="s">
        <v>385</v>
      </c>
      <c r="BA204" s="21" t="s">
        <v>902</v>
      </c>
      <c r="BC204" s="13">
        <f t="shared" si="131"/>
        <v>0</v>
      </c>
      <c r="BD204" s="13">
        <f t="shared" si="132"/>
        <v>0</v>
      </c>
      <c r="BE204" s="13">
        <v>0</v>
      </c>
      <c r="BF204" s="13">
        <f>204</f>
        <v>204</v>
      </c>
      <c r="BH204" s="13">
        <f t="shared" si="133"/>
        <v>0</v>
      </c>
      <c r="BI204" s="13">
        <f t="shared" si="134"/>
        <v>0</v>
      </c>
      <c r="BJ204" s="13">
        <f t="shared" si="135"/>
        <v>0</v>
      </c>
      <c r="BK204" s="13"/>
      <c r="BL204" s="13">
        <v>11</v>
      </c>
    </row>
    <row r="205" spans="1:64" ht="15" customHeight="1">
      <c r="A205" s="11" t="s">
        <v>643</v>
      </c>
      <c r="B205" s="48" t="s">
        <v>242</v>
      </c>
      <c r="C205" s="48" t="s">
        <v>953</v>
      </c>
      <c r="D205" s="61" t="s">
        <v>644</v>
      </c>
      <c r="E205" s="61"/>
      <c r="F205" s="61"/>
      <c r="G205" s="61"/>
      <c r="H205" s="48" t="s">
        <v>553</v>
      </c>
      <c r="I205" s="13">
        <v>74.12</v>
      </c>
      <c r="J205" s="13">
        <v>0</v>
      </c>
      <c r="K205" s="13">
        <f t="shared" si="114"/>
        <v>0</v>
      </c>
      <c r="L205" s="13">
        <f t="shared" si="115"/>
        <v>0</v>
      </c>
      <c r="M205" s="13">
        <f t="shared" si="116"/>
        <v>0</v>
      </c>
      <c r="N205" s="13">
        <v>0</v>
      </c>
      <c r="O205" s="10" t="s">
        <v>851</v>
      </c>
      <c r="Z205" s="13">
        <f t="shared" si="117"/>
        <v>0</v>
      </c>
      <c r="AB205" s="13">
        <f t="shared" si="118"/>
        <v>0</v>
      </c>
      <c r="AC205" s="13">
        <f t="shared" si="119"/>
        <v>0</v>
      </c>
      <c r="AD205" s="13">
        <f t="shared" si="120"/>
        <v>0</v>
      </c>
      <c r="AE205" s="13">
        <f t="shared" si="121"/>
        <v>0</v>
      </c>
      <c r="AF205" s="13">
        <f t="shared" si="122"/>
        <v>0</v>
      </c>
      <c r="AG205" s="13">
        <f t="shared" si="123"/>
        <v>0</v>
      </c>
      <c r="AH205" s="13">
        <f t="shared" si="124"/>
        <v>0</v>
      </c>
      <c r="AI205" s="21" t="s">
        <v>242</v>
      </c>
      <c r="AJ205" s="13">
        <f t="shared" si="125"/>
        <v>0</v>
      </c>
      <c r="AK205" s="13">
        <f t="shared" si="126"/>
        <v>0</v>
      </c>
      <c r="AL205" s="13">
        <f t="shared" si="127"/>
        <v>0</v>
      </c>
      <c r="AN205" s="13">
        <v>21</v>
      </c>
      <c r="AO205" s="13">
        <f t="shared" si="136"/>
        <v>0</v>
      </c>
      <c r="AP205" s="13">
        <f t="shared" si="137"/>
        <v>0</v>
      </c>
      <c r="AQ205" s="32" t="s">
        <v>654</v>
      </c>
      <c r="AV205" s="13">
        <f t="shared" si="128"/>
        <v>0</v>
      </c>
      <c r="AW205" s="13">
        <f t="shared" si="129"/>
        <v>0</v>
      </c>
      <c r="AX205" s="13">
        <f t="shared" si="130"/>
        <v>0</v>
      </c>
      <c r="AY205" s="32" t="s">
        <v>133</v>
      </c>
      <c r="AZ205" s="32" t="s">
        <v>385</v>
      </c>
      <c r="BA205" s="21" t="s">
        <v>902</v>
      </c>
      <c r="BC205" s="13">
        <f t="shared" si="131"/>
        <v>0</v>
      </c>
      <c r="BD205" s="13">
        <f t="shared" si="132"/>
        <v>0</v>
      </c>
      <c r="BE205" s="13">
        <v>0</v>
      </c>
      <c r="BF205" s="13">
        <f>205</f>
        <v>205</v>
      </c>
      <c r="BH205" s="13">
        <f t="shared" si="133"/>
        <v>0</v>
      </c>
      <c r="BI205" s="13">
        <f t="shared" si="134"/>
        <v>0</v>
      </c>
      <c r="BJ205" s="13">
        <f t="shared" si="135"/>
        <v>0</v>
      </c>
      <c r="BK205" s="13"/>
      <c r="BL205" s="13">
        <v>11</v>
      </c>
    </row>
    <row r="206" spans="1:64" ht="15" customHeight="1">
      <c r="A206" s="11" t="s">
        <v>84</v>
      </c>
      <c r="B206" s="48" t="s">
        <v>242</v>
      </c>
      <c r="C206" s="48" t="s">
        <v>0</v>
      </c>
      <c r="D206" s="61" t="s">
        <v>308</v>
      </c>
      <c r="E206" s="61"/>
      <c r="F206" s="61"/>
      <c r="G206" s="61"/>
      <c r="H206" s="48" t="s">
        <v>553</v>
      </c>
      <c r="I206" s="13">
        <v>1408.28</v>
      </c>
      <c r="J206" s="13">
        <v>0</v>
      </c>
      <c r="K206" s="13">
        <f t="shared" si="114"/>
        <v>0</v>
      </c>
      <c r="L206" s="13">
        <f t="shared" si="115"/>
        <v>0</v>
      </c>
      <c r="M206" s="13">
        <f t="shared" si="116"/>
        <v>0</v>
      </c>
      <c r="N206" s="13">
        <v>0</v>
      </c>
      <c r="O206" s="10" t="s">
        <v>851</v>
      </c>
      <c r="Z206" s="13">
        <f t="shared" si="117"/>
        <v>0</v>
      </c>
      <c r="AB206" s="13">
        <f t="shared" si="118"/>
        <v>0</v>
      </c>
      <c r="AC206" s="13">
        <f t="shared" si="119"/>
        <v>0</v>
      </c>
      <c r="AD206" s="13">
        <f t="shared" si="120"/>
        <v>0</v>
      </c>
      <c r="AE206" s="13">
        <f t="shared" si="121"/>
        <v>0</v>
      </c>
      <c r="AF206" s="13">
        <f t="shared" si="122"/>
        <v>0</v>
      </c>
      <c r="AG206" s="13">
        <f t="shared" si="123"/>
        <v>0</v>
      </c>
      <c r="AH206" s="13">
        <f t="shared" si="124"/>
        <v>0</v>
      </c>
      <c r="AI206" s="21" t="s">
        <v>242</v>
      </c>
      <c r="AJ206" s="13">
        <f t="shared" si="125"/>
        <v>0</v>
      </c>
      <c r="AK206" s="13">
        <f t="shared" si="126"/>
        <v>0</v>
      </c>
      <c r="AL206" s="13">
        <f t="shared" si="127"/>
        <v>0</v>
      </c>
      <c r="AN206" s="13">
        <v>21</v>
      </c>
      <c r="AO206" s="13">
        <f t="shared" si="136"/>
        <v>0</v>
      </c>
      <c r="AP206" s="13">
        <f t="shared" si="137"/>
        <v>0</v>
      </c>
      <c r="AQ206" s="32" t="s">
        <v>654</v>
      </c>
      <c r="AV206" s="13">
        <f t="shared" si="128"/>
        <v>0</v>
      </c>
      <c r="AW206" s="13">
        <f t="shared" si="129"/>
        <v>0</v>
      </c>
      <c r="AX206" s="13">
        <f t="shared" si="130"/>
        <v>0</v>
      </c>
      <c r="AY206" s="32" t="s">
        <v>133</v>
      </c>
      <c r="AZ206" s="32" t="s">
        <v>385</v>
      </c>
      <c r="BA206" s="21" t="s">
        <v>902</v>
      </c>
      <c r="BC206" s="13">
        <f t="shared" si="131"/>
        <v>0</v>
      </c>
      <c r="BD206" s="13">
        <f t="shared" si="132"/>
        <v>0</v>
      </c>
      <c r="BE206" s="13">
        <v>0</v>
      </c>
      <c r="BF206" s="13">
        <f>206</f>
        <v>206</v>
      </c>
      <c r="BH206" s="13">
        <f t="shared" si="133"/>
        <v>0</v>
      </c>
      <c r="BI206" s="13">
        <f t="shared" si="134"/>
        <v>0</v>
      </c>
      <c r="BJ206" s="13">
        <f t="shared" si="135"/>
        <v>0</v>
      </c>
      <c r="BK206" s="13"/>
      <c r="BL206" s="13">
        <v>11</v>
      </c>
    </row>
    <row r="207" spans="1:64" ht="15" customHeight="1">
      <c r="A207" s="11" t="s">
        <v>1330</v>
      </c>
      <c r="B207" s="48" t="s">
        <v>242</v>
      </c>
      <c r="C207" s="48" t="s">
        <v>294</v>
      </c>
      <c r="D207" s="61" t="s">
        <v>963</v>
      </c>
      <c r="E207" s="61"/>
      <c r="F207" s="61"/>
      <c r="G207" s="61"/>
      <c r="H207" s="48" t="s">
        <v>553</v>
      </c>
      <c r="I207" s="13">
        <v>107.12</v>
      </c>
      <c r="J207" s="13">
        <v>0</v>
      </c>
      <c r="K207" s="13">
        <f t="shared" si="114"/>
        <v>0</v>
      </c>
      <c r="L207" s="13">
        <f t="shared" si="115"/>
        <v>0</v>
      </c>
      <c r="M207" s="13">
        <f t="shared" si="116"/>
        <v>0</v>
      </c>
      <c r="N207" s="13">
        <v>0</v>
      </c>
      <c r="O207" s="10" t="s">
        <v>851</v>
      </c>
      <c r="Z207" s="13">
        <f t="shared" si="117"/>
        <v>0</v>
      </c>
      <c r="AB207" s="13">
        <f t="shared" si="118"/>
        <v>0</v>
      </c>
      <c r="AC207" s="13">
        <f t="shared" si="119"/>
        <v>0</v>
      </c>
      <c r="AD207" s="13">
        <f t="shared" si="120"/>
        <v>0</v>
      </c>
      <c r="AE207" s="13">
        <f t="shared" si="121"/>
        <v>0</v>
      </c>
      <c r="AF207" s="13">
        <f t="shared" si="122"/>
        <v>0</v>
      </c>
      <c r="AG207" s="13">
        <f t="shared" si="123"/>
        <v>0</v>
      </c>
      <c r="AH207" s="13">
        <f t="shared" si="124"/>
        <v>0</v>
      </c>
      <c r="AI207" s="21" t="s">
        <v>242</v>
      </c>
      <c r="AJ207" s="13">
        <f t="shared" si="125"/>
        <v>0</v>
      </c>
      <c r="AK207" s="13">
        <f t="shared" si="126"/>
        <v>0</v>
      </c>
      <c r="AL207" s="13">
        <f t="shared" si="127"/>
        <v>0</v>
      </c>
      <c r="AN207" s="13">
        <v>21</v>
      </c>
      <c r="AO207" s="13">
        <f t="shared" si="136"/>
        <v>0</v>
      </c>
      <c r="AP207" s="13">
        <f t="shared" si="137"/>
        <v>0</v>
      </c>
      <c r="AQ207" s="32" t="s">
        <v>654</v>
      </c>
      <c r="AV207" s="13">
        <f t="shared" si="128"/>
        <v>0</v>
      </c>
      <c r="AW207" s="13">
        <f t="shared" si="129"/>
        <v>0</v>
      </c>
      <c r="AX207" s="13">
        <f t="shared" si="130"/>
        <v>0</v>
      </c>
      <c r="AY207" s="32" t="s">
        <v>133</v>
      </c>
      <c r="AZ207" s="32" t="s">
        <v>385</v>
      </c>
      <c r="BA207" s="21" t="s">
        <v>902</v>
      </c>
      <c r="BC207" s="13">
        <f t="shared" si="131"/>
        <v>0</v>
      </c>
      <c r="BD207" s="13">
        <f t="shared" si="132"/>
        <v>0</v>
      </c>
      <c r="BE207" s="13">
        <v>0</v>
      </c>
      <c r="BF207" s="13">
        <f>207</f>
        <v>207</v>
      </c>
      <c r="BH207" s="13">
        <f t="shared" si="133"/>
        <v>0</v>
      </c>
      <c r="BI207" s="13">
        <f t="shared" si="134"/>
        <v>0</v>
      </c>
      <c r="BJ207" s="13">
        <f t="shared" si="135"/>
        <v>0</v>
      </c>
      <c r="BK207" s="13"/>
      <c r="BL207" s="13">
        <v>11</v>
      </c>
    </row>
    <row r="208" spans="1:64" ht="15" customHeight="1">
      <c r="A208" s="11" t="s">
        <v>719</v>
      </c>
      <c r="B208" s="48" t="s">
        <v>242</v>
      </c>
      <c r="C208" s="48" t="s">
        <v>728</v>
      </c>
      <c r="D208" s="61" t="s">
        <v>614</v>
      </c>
      <c r="E208" s="61"/>
      <c r="F208" s="61"/>
      <c r="G208" s="61"/>
      <c r="H208" s="48" t="s">
        <v>1216</v>
      </c>
      <c r="I208" s="13">
        <v>608.62</v>
      </c>
      <c r="J208" s="13">
        <v>0</v>
      </c>
      <c r="K208" s="13">
        <f t="shared" si="114"/>
        <v>0</v>
      </c>
      <c r="L208" s="13">
        <f t="shared" si="115"/>
        <v>0</v>
      </c>
      <c r="M208" s="13">
        <f t="shared" si="116"/>
        <v>0</v>
      </c>
      <c r="N208" s="13">
        <v>0</v>
      </c>
      <c r="O208" s="10" t="s">
        <v>851</v>
      </c>
      <c r="Z208" s="13">
        <f t="shared" si="117"/>
        <v>0</v>
      </c>
      <c r="AB208" s="13">
        <f t="shared" si="118"/>
        <v>0</v>
      </c>
      <c r="AC208" s="13">
        <f t="shared" si="119"/>
        <v>0</v>
      </c>
      <c r="AD208" s="13">
        <f t="shared" si="120"/>
        <v>0</v>
      </c>
      <c r="AE208" s="13">
        <f t="shared" si="121"/>
        <v>0</v>
      </c>
      <c r="AF208" s="13">
        <f t="shared" si="122"/>
        <v>0</v>
      </c>
      <c r="AG208" s="13">
        <f t="shared" si="123"/>
        <v>0</v>
      </c>
      <c r="AH208" s="13">
        <f t="shared" si="124"/>
        <v>0</v>
      </c>
      <c r="AI208" s="21" t="s">
        <v>242</v>
      </c>
      <c r="AJ208" s="13">
        <f t="shared" si="125"/>
        <v>0</v>
      </c>
      <c r="AK208" s="13">
        <f t="shared" si="126"/>
        <v>0</v>
      </c>
      <c r="AL208" s="13">
        <f t="shared" si="127"/>
        <v>0</v>
      </c>
      <c r="AN208" s="13">
        <v>21</v>
      </c>
      <c r="AO208" s="13">
        <f t="shared" si="136"/>
        <v>0</v>
      </c>
      <c r="AP208" s="13">
        <f t="shared" si="137"/>
        <v>0</v>
      </c>
      <c r="AQ208" s="32" t="s">
        <v>1231</v>
      </c>
      <c r="AV208" s="13">
        <f t="shared" si="128"/>
        <v>0</v>
      </c>
      <c r="AW208" s="13">
        <f t="shared" si="129"/>
        <v>0</v>
      </c>
      <c r="AX208" s="13">
        <f t="shared" si="130"/>
        <v>0</v>
      </c>
      <c r="AY208" s="32" t="s">
        <v>133</v>
      </c>
      <c r="AZ208" s="32" t="s">
        <v>385</v>
      </c>
      <c r="BA208" s="21" t="s">
        <v>902</v>
      </c>
      <c r="BC208" s="13">
        <f t="shared" si="131"/>
        <v>0</v>
      </c>
      <c r="BD208" s="13">
        <f t="shared" si="132"/>
        <v>0</v>
      </c>
      <c r="BE208" s="13">
        <v>0</v>
      </c>
      <c r="BF208" s="13">
        <f>208</f>
        <v>208</v>
      </c>
      <c r="BH208" s="13">
        <f t="shared" si="133"/>
        <v>0</v>
      </c>
      <c r="BI208" s="13">
        <f t="shared" si="134"/>
        <v>0</v>
      </c>
      <c r="BJ208" s="13">
        <f t="shared" si="135"/>
        <v>0</v>
      </c>
      <c r="BK208" s="13"/>
      <c r="BL208" s="13">
        <v>11</v>
      </c>
    </row>
    <row r="209" spans="1:64" ht="15" customHeight="1">
      <c r="A209" s="11" t="s">
        <v>493</v>
      </c>
      <c r="B209" s="48" t="s">
        <v>242</v>
      </c>
      <c r="C209" s="48" t="s">
        <v>1389</v>
      </c>
      <c r="D209" s="61" t="s">
        <v>708</v>
      </c>
      <c r="E209" s="61"/>
      <c r="F209" s="61"/>
      <c r="G209" s="61"/>
      <c r="H209" s="48" t="s">
        <v>1216</v>
      </c>
      <c r="I209" s="13">
        <v>608.62</v>
      </c>
      <c r="J209" s="13">
        <v>0</v>
      </c>
      <c r="K209" s="13">
        <f t="shared" si="114"/>
        <v>0</v>
      </c>
      <c r="L209" s="13">
        <f t="shared" si="115"/>
        <v>0</v>
      </c>
      <c r="M209" s="13">
        <f t="shared" si="116"/>
        <v>0</v>
      </c>
      <c r="N209" s="13">
        <v>0</v>
      </c>
      <c r="O209" s="10" t="s">
        <v>851</v>
      </c>
      <c r="Z209" s="13">
        <f t="shared" si="117"/>
        <v>0</v>
      </c>
      <c r="AB209" s="13">
        <f t="shared" si="118"/>
        <v>0</v>
      </c>
      <c r="AC209" s="13">
        <f t="shared" si="119"/>
        <v>0</v>
      </c>
      <c r="AD209" s="13">
        <f t="shared" si="120"/>
        <v>0</v>
      </c>
      <c r="AE209" s="13">
        <f t="shared" si="121"/>
        <v>0</v>
      </c>
      <c r="AF209" s="13">
        <f t="shared" si="122"/>
        <v>0</v>
      </c>
      <c r="AG209" s="13">
        <f t="shared" si="123"/>
        <v>0</v>
      </c>
      <c r="AH209" s="13">
        <f t="shared" si="124"/>
        <v>0</v>
      </c>
      <c r="AI209" s="21" t="s">
        <v>242</v>
      </c>
      <c r="AJ209" s="13">
        <f t="shared" si="125"/>
        <v>0</v>
      </c>
      <c r="AK209" s="13">
        <f t="shared" si="126"/>
        <v>0</v>
      </c>
      <c r="AL209" s="13">
        <f t="shared" si="127"/>
        <v>0</v>
      </c>
      <c r="AN209" s="13">
        <v>21</v>
      </c>
      <c r="AO209" s="13">
        <f t="shared" si="136"/>
        <v>0</v>
      </c>
      <c r="AP209" s="13">
        <f t="shared" si="137"/>
        <v>0</v>
      </c>
      <c r="AQ209" s="32" t="s">
        <v>1231</v>
      </c>
      <c r="AV209" s="13">
        <f t="shared" si="128"/>
        <v>0</v>
      </c>
      <c r="AW209" s="13">
        <f t="shared" si="129"/>
        <v>0</v>
      </c>
      <c r="AX209" s="13">
        <f t="shared" si="130"/>
        <v>0</v>
      </c>
      <c r="AY209" s="32" t="s">
        <v>133</v>
      </c>
      <c r="AZ209" s="32" t="s">
        <v>385</v>
      </c>
      <c r="BA209" s="21" t="s">
        <v>902</v>
      </c>
      <c r="BC209" s="13">
        <f t="shared" si="131"/>
        <v>0</v>
      </c>
      <c r="BD209" s="13">
        <f t="shared" si="132"/>
        <v>0</v>
      </c>
      <c r="BE209" s="13">
        <v>0</v>
      </c>
      <c r="BF209" s="13">
        <f>209</f>
        <v>209</v>
      </c>
      <c r="BH209" s="13">
        <f t="shared" si="133"/>
        <v>0</v>
      </c>
      <c r="BI209" s="13">
        <f t="shared" si="134"/>
        <v>0</v>
      </c>
      <c r="BJ209" s="13">
        <f t="shared" si="135"/>
        <v>0</v>
      </c>
      <c r="BK209" s="13"/>
      <c r="BL209" s="13">
        <v>11</v>
      </c>
    </row>
    <row r="210" spans="1:64" ht="15" customHeight="1">
      <c r="A210" s="11" t="s">
        <v>352</v>
      </c>
      <c r="B210" s="48" t="s">
        <v>242</v>
      </c>
      <c r="C210" s="48" t="s">
        <v>279</v>
      </c>
      <c r="D210" s="61" t="s">
        <v>404</v>
      </c>
      <c r="E210" s="61"/>
      <c r="F210" s="61"/>
      <c r="G210" s="61"/>
      <c r="H210" s="48" t="s">
        <v>553</v>
      </c>
      <c r="I210" s="13">
        <v>149.0764</v>
      </c>
      <c r="J210" s="13">
        <v>0</v>
      </c>
      <c r="K210" s="13">
        <f t="shared" si="114"/>
        <v>0</v>
      </c>
      <c r="L210" s="13">
        <f t="shared" si="115"/>
        <v>0</v>
      </c>
      <c r="M210" s="13">
        <f t="shared" si="116"/>
        <v>0</v>
      </c>
      <c r="N210" s="13">
        <v>0</v>
      </c>
      <c r="O210" s="10" t="s">
        <v>851</v>
      </c>
      <c r="Z210" s="13">
        <f t="shared" si="117"/>
        <v>0</v>
      </c>
      <c r="AB210" s="13">
        <f t="shared" si="118"/>
        <v>0</v>
      </c>
      <c r="AC210" s="13">
        <f t="shared" si="119"/>
        <v>0</v>
      </c>
      <c r="AD210" s="13">
        <f t="shared" si="120"/>
        <v>0</v>
      </c>
      <c r="AE210" s="13">
        <f t="shared" si="121"/>
        <v>0</v>
      </c>
      <c r="AF210" s="13">
        <f t="shared" si="122"/>
        <v>0</v>
      </c>
      <c r="AG210" s="13">
        <f t="shared" si="123"/>
        <v>0</v>
      </c>
      <c r="AH210" s="13">
        <f t="shared" si="124"/>
        <v>0</v>
      </c>
      <c r="AI210" s="21" t="s">
        <v>242</v>
      </c>
      <c r="AJ210" s="13">
        <f t="shared" si="125"/>
        <v>0</v>
      </c>
      <c r="AK210" s="13">
        <f t="shared" si="126"/>
        <v>0</v>
      </c>
      <c r="AL210" s="13">
        <f t="shared" si="127"/>
        <v>0</v>
      </c>
      <c r="AN210" s="13">
        <v>21</v>
      </c>
      <c r="AO210" s="13">
        <f t="shared" si="136"/>
        <v>0</v>
      </c>
      <c r="AP210" s="13">
        <f t="shared" si="137"/>
        <v>0</v>
      </c>
      <c r="AQ210" s="32" t="s">
        <v>654</v>
      </c>
      <c r="AV210" s="13">
        <f t="shared" si="128"/>
        <v>0</v>
      </c>
      <c r="AW210" s="13">
        <f t="shared" si="129"/>
        <v>0</v>
      </c>
      <c r="AX210" s="13">
        <f t="shared" si="130"/>
        <v>0</v>
      </c>
      <c r="AY210" s="32" t="s">
        <v>133</v>
      </c>
      <c r="AZ210" s="32" t="s">
        <v>385</v>
      </c>
      <c r="BA210" s="21" t="s">
        <v>902</v>
      </c>
      <c r="BC210" s="13">
        <f t="shared" si="131"/>
        <v>0</v>
      </c>
      <c r="BD210" s="13">
        <f t="shared" si="132"/>
        <v>0</v>
      </c>
      <c r="BE210" s="13">
        <v>0</v>
      </c>
      <c r="BF210" s="13">
        <f>210</f>
        <v>210</v>
      </c>
      <c r="BH210" s="13">
        <f t="shared" si="133"/>
        <v>0</v>
      </c>
      <c r="BI210" s="13">
        <f t="shared" si="134"/>
        <v>0</v>
      </c>
      <c r="BJ210" s="13">
        <f t="shared" si="135"/>
        <v>0</v>
      </c>
      <c r="BK210" s="13"/>
      <c r="BL210" s="13">
        <v>11</v>
      </c>
    </row>
    <row r="211" spans="1:64" ht="15" customHeight="1">
      <c r="A211" s="11" t="s">
        <v>867</v>
      </c>
      <c r="B211" s="48" t="s">
        <v>242</v>
      </c>
      <c r="C211" s="48" t="s">
        <v>1115</v>
      </c>
      <c r="D211" s="61" t="s">
        <v>836</v>
      </c>
      <c r="E211" s="61"/>
      <c r="F211" s="61"/>
      <c r="G211" s="61"/>
      <c r="H211" s="48" t="s">
        <v>1216</v>
      </c>
      <c r="I211" s="13">
        <v>69</v>
      </c>
      <c r="J211" s="13">
        <v>0</v>
      </c>
      <c r="K211" s="13">
        <f t="shared" si="114"/>
        <v>0</v>
      </c>
      <c r="L211" s="13">
        <f t="shared" si="115"/>
        <v>0</v>
      </c>
      <c r="M211" s="13">
        <f t="shared" si="116"/>
        <v>0</v>
      </c>
      <c r="N211" s="13">
        <v>0</v>
      </c>
      <c r="O211" s="10" t="s">
        <v>851</v>
      </c>
      <c r="Z211" s="13">
        <f t="shared" si="117"/>
        <v>0</v>
      </c>
      <c r="AB211" s="13">
        <f t="shared" si="118"/>
        <v>0</v>
      </c>
      <c r="AC211" s="13">
        <f t="shared" si="119"/>
        <v>0</v>
      </c>
      <c r="AD211" s="13">
        <f t="shared" si="120"/>
        <v>0</v>
      </c>
      <c r="AE211" s="13">
        <f t="shared" si="121"/>
        <v>0</v>
      </c>
      <c r="AF211" s="13">
        <f t="shared" si="122"/>
        <v>0</v>
      </c>
      <c r="AG211" s="13">
        <f t="shared" si="123"/>
        <v>0</v>
      </c>
      <c r="AH211" s="13">
        <f t="shared" si="124"/>
        <v>0</v>
      </c>
      <c r="AI211" s="21" t="s">
        <v>242</v>
      </c>
      <c r="AJ211" s="13">
        <f t="shared" si="125"/>
        <v>0</v>
      </c>
      <c r="AK211" s="13">
        <f t="shared" si="126"/>
        <v>0</v>
      </c>
      <c r="AL211" s="13">
        <f t="shared" si="127"/>
        <v>0</v>
      </c>
      <c r="AN211" s="13">
        <v>21</v>
      </c>
      <c r="AO211" s="13">
        <f t="shared" si="136"/>
        <v>0</v>
      </c>
      <c r="AP211" s="13">
        <f t="shared" si="137"/>
        <v>0</v>
      </c>
      <c r="AQ211" s="32" t="s">
        <v>1231</v>
      </c>
      <c r="AV211" s="13">
        <f t="shared" si="128"/>
        <v>0</v>
      </c>
      <c r="AW211" s="13">
        <f t="shared" si="129"/>
        <v>0</v>
      </c>
      <c r="AX211" s="13">
        <f t="shared" si="130"/>
        <v>0</v>
      </c>
      <c r="AY211" s="32" t="s">
        <v>133</v>
      </c>
      <c r="AZ211" s="32" t="s">
        <v>385</v>
      </c>
      <c r="BA211" s="21" t="s">
        <v>902</v>
      </c>
      <c r="BC211" s="13">
        <f t="shared" si="131"/>
        <v>0</v>
      </c>
      <c r="BD211" s="13">
        <f t="shared" si="132"/>
        <v>0</v>
      </c>
      <c r="BE211" s="13">
        <v>0</v>
      </c>
      <c r="BF211" s="13">
        <f>211</f>
        <v>211</v>
      </c>
      <c r="BH211" s="13">
        <f t="shared" si="133"/>
        <v>0</v>
      </c>
      <c r="BI211" s="13">
        <f t="shared" si="134"/>
        <v>0</v>
      </c>
      <c r="BJ211" s="13">
        <f t="shared" si="135"/>
        <v>0</v>
      </c>
      <c r="BK211" s="13"/>
      <c r="BL211" s="13">
        <v>11</v>
      </c>
    </row>
    <row r="212" spans="1:64" ht="15" customHeight="1">
      <c r="A212" s="11" t="s">
        <v>1154</v>
      </c>
      <c r="B212" s="48" t="s">
        <v>242</v>
      </c>
      <c r="C212" s="48" t="s">
        <v>1389</v>
      </c>
      <c r="D212" s="61" t="s">
        <v>708</v>
      </c>
      <c r="E212" s="61"/>
      <c r="F212" s="61"/>
      <c r="G212" s="61"/>
      <c r="H212" s="48" t="s">
        <v>1216</v>
      </c>
      <c r="I212" s="13">
        <v>50</v>
      </c>
      <c r="J212" s="13">
        <v>0</v>
      </c>
      <c r="K212" s="13">
        <f t="shared" si="114"/>
        <v>0</v>
      </c>
      <c r="L212" s="13">
        <f t="shared" si="115"/>
        <v>0</v>
      </c>
      <c r="M212" s="13">
        <f t="shared" si="116"/>
        <v>0</v>
      </c>
      <c r="N212" s="13">
        <v>0</v>
      </c>
      <c r="O212" s="10" t="s">
        <v>851</v>
      </c>
      <c r="Z212" s="13">
        <f t="shared" si="117"/>
        <v>0</v>
      </c>
      <c r="AB212" s="13">
        <f t="shared" si="118"/>
        <v>0</v>
      </c>
      <c r="AC212" s="13">
        <f t="shared" si="119"/>
        <v>0</v>
      </c>
      <c r="AD212" s="13">
        <f t="shared" si="120"/>
        <v>0</v>
      </c>
      <c r="AE212" s="13">
        <f t="shared" si="121"/>
        <v>0</v>
      </c>
      <c r="AF212" s="13">
        <f t="shared" si="122"/>
        <v>0</v>
      </c>
      <c r="AG212" s="13">
        <f t="shared" si="123"/>
        <v>0</v>
      </c>
      <c r="AH212" s="13">
        <f t="shared" si="124"/>
        <v>0</v>
      </c>
      <c r="AI212" s="21" t="s">
        <v>242</v>
      </c>
      <c r="AJ212" s="13">
        <f t="shared" si="125"/>
        <v>0</v>
      </c>
      <c r="AK212" s="13">
        <f t="shared" si="126"/>
        <v>0</v>
      </c>
      <c r="AL212" s="13">
        <f t="shared" si="127"/>
        <v>0</v>
      </c>
      <c r="AN212" s="13">
        <v>21</v>
      </c>
      <c r="AO212" s="13">
        <f t="shared" si="136"/>
        <v>0</v>
      </c>
      <c r="AP212" s="13">
        <f t="shared" si="137"/>
        <v>0</v>
      </c>
      <c r="AQ212" s="32" t="s">
        <v>1231</v>
      </c>
      <c r="AV212" s="13">
        <f t="shared" si="128"/>
        <v>0</v>
      </c>
      <c r="AW212" s="13">
        <f t="shared" si="129"/>
        <v>0</v>
      </c>
      <c r="AX212" s="13">
        <f t="shared" si="130"/>
        <v>0</v>
      </c>
      <c r="AY212" s="32" t="s">
        <v>133</v>
      </c>
      <c r="AZ212" s="32" t="s">
        <v>385</v>
      </c>
      <c r="BA212" s="21" t="s">
        <v>902</v>
      </c>
      <c r="BC212" s="13">
        <f t="shared" si="131"/>
        <v>0</v>
      </c>
      <c r="BD212" s="13">
        <f t="shared" si="132"/>
        <v>0</v>
      </c>
      <c r="BE212" s="13">
        <v>0</v>
      </c>
      <c r="BF212" s="13">
        <f>212</f>
        <v>212</v>
      </c>
      <c r="BH212" s="13">
        <f t="shared" si="133"/>
        <v>0</v>
      </c>
      <c r="BI212" s="13">
        <f t="shared" si="134"/>
        <v>0</v>
      </c>
      <c r="BJ212" s="13">
        <f t="shared" si="135"/>
        <v>0</v>
      </c>
      <c r="BK212" s="13"/>
      <c r="BL212" s="13">
        <v>11</v>
      </c>
    </row>
    <row r="213" spans="1:47" ht="15" customHeight="1">
      <c r="A213" s="30" t="s">
        <v>862</v>
      </c>
      <c r="B213" s="18" t="s">
        <v>242</v>
      </c>
      <c r="C213" s="18" t="s">
        <v>356</v>
      </c>
      <c r="D213" s="73" t="s">
        <v>11</v>
      </c>
      <c r="E213" s="73"/>
      <c r="F213" s="73"/>
      <c r="G213" s="73"/>
      <c r="H213" s="15" t="s">
        <v>1148</v>
      </c>
      <c r="I213" s="15" t="s">
        <v>1148</v>
      </c>
      <c r="J213" s="15" t="s">
        <v>1148</v>
      </c>
      <c r="K213" s="56">
        <f>SUM(K214:K216)</f>
        <v>0</v>
      </c>
      <c r="L213" s="56">
        <f>SUM(L214:L216)</f>
        <v>0</v>
      </c>
      <c r="M213" s="56">
        <f>SUM(M214:M216)</f>
        <v>0</v>
      </c>
      <c r="N213" s="21" t="s">
        <v>862</v>
      </c>
      <c r="O213" s="47" t="s">
        <v>862</v>
      </c>
      <c r="AI213" s="21" t="s">
        <v>242</v>
      </c>
      <c r="AS213" s="56">
        <f>SUM(AJ214:AJ216)</f>
        <v>0</v>
      </c>
      <c r="AT213" s="56">
        <f>SUM(AK214:AK216)</f>
        <v>0</v>
      </c>
      <c r="AU213" s="56">
        <f>SUM(AL214:AL216)</f>
        <v>0</v>
      </c>
    </row>
    <row r="214" spans="1:64" ht="15" customHeight="1">
      <c r="A214" s="11" t="s">
        <v>283</v>
      </c>
      <c r="B214" s="48" t="s">
        <v>242</v>
      </c>
      <c r="C214" s="48" t="s">
        <v>1101</v>
      </c>
      <c r="D214" s="61" t="s">
        <v>168</v>
      </c>
      <c r="E214" s="61"/>
      <c r="F214" s="61"/>
      <c r="G214" s="61"/>
      <c r="H214" s="48" t="s">
        <v>1195</v>
      </c>
      <c r="I214" s="13">
        <v>2185.2</v>
      </c>
      <c r="J214" s="13">
        <v>0</v>
      </c>
      <c r="K214" s="13">
        <f>I214*AO214</f>
        <v>0</v>
      </c>
      <c r="L214" s="13">
        <f>I214*AP214</f>
        <v>0</v>
      </c>
      <c r="M214" s="13">
        <f>I214*J214</f>
        <v>0</v>
      </c>
      <c r="N214" s="13">
        <v>0</v>
      </c>
      <c r="O214" s="10" t="s">
        <v>851</v>
      </c>
      <c r="Z214" s="13">
        <f>IF(AQ214="5",BJ214,0)</f>
        <v>0</v>
      </c>
      <c r="AB214" s="13">
        <f>IF(AQ214="1",BH214,0)</f>
        <v>0</v>
      </c>
      <c r="AC214" s="13">
        <f>IF(AQ214="1",BI214,0)</f>
        <v>0</v>
      </c>
      <c r="AD214" s="13">
        <f>IF(AQ214="7",BH214,0)</f>
        <v>0</v>
      </c>
      <c r="AE214" s="13">
        <f>IF(AQ214="7",BI214,0)</f>
        <v>0</v>
      </c>
      <c r="AF214" s="13">
        <f>IF(AQ214="2",BH214,0)</f>
        <v>0</v>
      </c>
      <c r="AG214" s="13">
        <f>IF(AQ214="2",BI214,0)</f>
        <v>0</v>
      </c>
      <c r="AH214" s="13">
        <f>IF(AQ214="0",BJ214,0)</f>
        <v>0</v>
      </c>
      <c r="AI214" s="21" t="s">
        <v>242</v>
      </c>
      <c r="AJ214" s="13">
        <f>IF(AN214=0,M214,0)</f>
        <v>0</v>
      </c>
      <c r="AK214" s="13">
        <f>IF(AN214=15,M214,0)</f>
        <v>0</v>
      </c>
      <c r="AL214" s="13">
        <f>IF(AN214=21,M214,0)</f>
        <v>0</v>
      </c>
      <c r="AN214" s="13">
        <v>21</v>
      </c>
      <c r="AO214" s="13">
        <f>J214*0</f>
        <v>0</v>
      </c>
      <c r="AP214" s="13">
        <f>J214*(1-0)</f>
        <v>0</v>
      </c>
      <c r="AQ214" s="32" t="s">
        <v>1231</v>
      </c>
      <c r="AV214" s="13">
        <f>AW214+AX214</f>
        <v>0</v>
      </c>
      <c r="AW214" s="13">
        <f>I214*AO214</f>
        <v>0</v>
      </c>
      <c r="AX214" s="13">
        <f>I214*AP214</f>
        <v>0</v>
      </c>
      <c r="AY214" s="32" t="s">
        <v>1116</v>
      </c>
      <c r="AZ214" s="32" t="s">
        <v>385</v>
      </c>
      <c r="BA214" s="21" t="s">
        <v>902</v>
      </c>
      <c r="BC214" s="13">
        <f>AW214+AX214</f>
        <v>0</v>
      </c>
      <c r="BD214" s="13">
        <f>J214/(100-BE214)*100</f>
        <v>0</v>
      </c>
      <c r="BE214" s="13">
        <v>0</v>
      </c>
      <c r="BF214" s="13">
        <f>214</f>
        <v>214</v>
      </c>
      <c r="BH214" s="13">
        <f>I214*AO214</f>
        <v>0</v>
      </c>
      <c r="BI214" s="13">
        <f>I214*AP214</f>
        <v>0</v>
      </c>
      <c r="BJ214" s="13">
        <f>I214*J214</f>
        <v>0</v>
      </c>
      <c r="BK214" s="13"/>
      <c r="BL214" s="13">
        <v>13</v>
      </c>
    </row>
    <row r="215" spans="1:64" ht="15" customHeight="1">
      <c r="A215" s="11" t="s">
        <v>1298</v>
      </c>
      <c r="B215" s="48" t="s">
        <v>242</v>
      </c>
      <c r="C215" s="48" t="s">
        <v>433</v>
      </c>
      <c r="D215" s="61" t="s">
        <v>1263</v>
      </c>
      <c r="E215" s="61"/>
      <c r="F215" s="61"/>
      <c r="G215" s="61"/>
      <c r="H215" s="48" t="s">
        <v>1195</v>
      </c>
      <c r="I215" s="13">
        <v>132</v>
      </c>
      <c r="J215" s="13">
        <v>0</v>
      </c>
      <c r="K215" s="13">
        <f>I215*AO215</f>
        <v>0</v>
      </c>
      <c r="L215" s="13">
        <f>I215*AP215</f>
        <v>0</v>
      </c>
      <c r="M215" s="13">
        <f>I215*J215</f>
        <v>0</v>
      </c>
      <c r="N215" s="13">
        <v>0</v>
      </c>
      <c r="O215" s="10" t="s">
        <v>851</v>
      </c>
      <c r="Z215" s="13">
        <f>IF(AQ215="5",BJ215,0)</f>
        <v>0</v>
      </c>
      <c r="AB215" s="13">
        <f>IF(AQ215="1",BH215,0)</f>
        <v>0</v>
      </c>
      <c r="AC215" s="13">
        <f>IF(AQ215="1",BI215,0)</f>
        <v>0</v>
      </c>
      <c r="AD215" s="13">
        <f>IF(AQ215="7",BH215,0)</f>
        <v>0</v>
      </c>
      <c r="AE215" s="13">
        <f>IF(AQ215="7",BI215,0)</f>
        <v>0</v>
      </c>
      <c r="AF215" s="13">
        <f>IF(AQ215="2",BH215,0)</f>
        <v>0</v>
      </c>
      <c r="AG215" s="13">
        <f>IF(AQ215="2",BI215,0)</f>
        <v>0</v>
      </c>
      <c r="AH215" s="13">
        <f>IF(AQ215="0",BJ215,0)</f>
        <v>0</v>
      </c>
      <c r="AI215" s="21" t="s">
        <v>242</v>
      </c>
      <c r="AJ215" s="13">
        <f>IF(AN215=0,M215,0)</f>
        <v>0</v>
      </c>
      <c r="AK215" s="13">
        <f>IF(AN215=15,M215,0)</f>
        <v>0</v>
      </c>
      <c r="AL215" s="13">
        <f>IF(AN215=21,M215,0)</f>
        <v>0</v>
      </c>
      <c r="AN215" s="13">
        <v>21</v>
      </c>
      <c r="AO215" s="13">
        <f>J215*0</f>
        <v>0</v>
      </c>
      <c r="AP215" s="13">
        <f>J215*(1-0)</f>
        <v>0</v>
      </c>
      <c r="AQ215" s="32" t="s">
        <v>1231</v>
      </c>
      <c r="AV215" s="13">
        <f>AW215+AX215</f>
        <v>0</v>
      </c>
      <c r="AW215" s="13">
        <f>I215*AO215</f>
        <v>0</v>
      </c>
      <c r="AX215" s="13">
        <f>I215*AP215</f>
        <v>0</v>
      </c>
      <c r="AY215" s="32" t="s">
        <v>1116</v>
      </c>
      <c r="AZ215" s="32" t="s">
        <v>385</v>
      </c>
      <c r="BA215" s="21" t="s">
        <v>902</v>
      </c>
      <c r="BC215" s="13">
        <f>AW215+AX215</f>
        <v>0</v>
      </c>
      <c r="BD215" s="13">
        <f>J215/(100-BE215)*100</f>
        <v>0</v>
      </c>
      <c r="BE215" s="13">
        <v>0</v>
      </c>
      <c r="BF215" s="13">
        <f>215</f>
        <v>215</v>
      </c>
      <c r="BH215" s="13">
        <f>I215*AO215</f>
        <v>0</v>
      </c>
      <c r="BI215" s="13">
        <f>I215*AP215</f>
        <v>0</v>
      </c>
      <c r="BJ215" s="13">
        <f>I215*J215</f>
        <v>0</v>
      </c>
      <c r="BK215" s="13"/>
      <c r="BL215" s="13">
        <v>13</v>
      </c>
    </row>
    <row r="216" spans="1:64" ht="15" customHeight="1">
      <c r="A216" s="11" t="s">
        <v>488</v>
      </c>
      <c r="B216" s="48" t="s">
        <v>242</v>
      </c>
      <c r="C216" s="48" t="s">
        <v>95</v>
      </c>
      <c r="D216" s="61" t="s">
        <v>417</v>
      </c>
      <c r="E216" s="61"/>
      <c r="F216" s="61"/>
      <c r="G216" s="61"/>
      <c r="H216" s="48" t="s">
        <v>1195</v>
      </c>
      <c r="I216" s="13">
        <v>15</v>
      </c>
      <c r="J216" s="13">
        <v>0</v>
      </c>
      <c r="K216" s="13">
        <f>I216*AO216</f>
        <v>0</v>
      </c>
      <c r="L216" s="13">
        <f>I216*AP216</f>
        <v>0</v>
      </c>
      <c r="M216" s="13">
        <f>I216*J216</f>
        <v>0</v>
      </c>
      <c r="N216" s="13">
        <v>0</v>
      </c>
      <c r="O216" s="10" t="s">
        <v>851</v>
      </c>
      <c r="Z216" s="13">
        <f>IF(AQ216="5",BJ216,0)</f>
        <v>0</v>
      </c>
      <c r="AB216" s="13">
        <f>IF(AQ216="1",BH216,0)</f>
        <v>0</v>
      </c>
      <c r="AC216" s="13">
        <f>IF(AQ216="1",BI216,0)</f>
        <v>0</v>
      </c>
      <c r="AD216" s="13">
        <f>IF(AQ216="7",BH216,0)</f>
        <v>0</v>
      </c>
      <c r="AE216" s="13">
        <f>IF(AQ216="7",BI216,0)</f>
        <v>0</v>
      </c>
      <c r="AF216" s="13">
        <f>IF(AQ216="2",BH216,0)</f>
        <v>0</v>
      </c>
      <c r="AG216" s="13">
        <f>IF(AQ216="2",BI216,0)</f>
        <v>0</v>
      </c>
      <c r="AH216" s="13">
        <f>IF(AQ216="0",BJ216,0)</f>
        <v>0</v>
      </c>
      <c r="AI216" s="21" t="s">
        <v>242</v>
      </c>
      <c r="AJ216" s="13">
        <f>IF(AN216=0,M216,0)</f>
        <v>0</v>
      </c>
      <c r="AK216" s="13">
        <f>IF(AN216=15,M216,0)</f>
        <v>0</v>
      </c>
      <c r="AL216" s="13">
        <f>IF(AN216=21,M216,0)</f>
        <v>0</v>
      </c>
      <c r="AN216" s="13">
        <v>21</v>
      </c>
      <c r="AO216" s="13">
        <f>J216*0</f>
        <v>0</v>
      </c>
      <c r="AP216" s="13">
        <f>J216*(1-0)</f>
        <v>0</v>
      </c>
      <c r="AQ216" s="32" t="s">
        <v>1231</v>
      </c>
      <c r="AV216" s="13">
        <f>AW216+AX216</f>
        <v>0</v>
      </c>
      <c r="AW216" s="13">
        <f>I216*AO216</f>
        <v>0</v>
      </c>
      <c r="AX216" s="13">
        <f>I216*AP216</f>
        <v>0</v>
      </c>
      <c r="AY216" s="32" t="s">
        <v>1116</v>
      </c>
      <c r="AZ216" s="32" t="s">
        <v>385</v>
      </c>
      <c r="BA216" s="21" t="s">
        <v>902</v>
      </c>
      <c r="BC216" s="13">
        <f>AW216+AX216</f>
        <v>0</v>
      </c>
      <c r="BD216" s="13">
        <f>J216/(100-BE216)*100</f>
        <v>0</v>
      </c>
      <c r="BE216" s="13">
        <v>0</v>
      </c>
      <c r="BF216" s="13">
        <f>216</f>
        <v>216</v>
      </c>
      <c r="BH216" s="13">
        <f>I216*AO216</f>
        <v>0</v>
      </c>
      <c r="BI216" s="13">
        <f>I216*AP216</f>
        <v>0</v>
      </c>
      <c r="BJ216" s="13">
        <f>I216*J216</f>
        <v>0</v>
      </c>
      <c r="BK216" s="13"/>
      <c r="BL216" s="13">
        <v>13</v>
      </c>
    </row>
    <row r="217" spans="1:47" ht="15" customHeight="1">
      <c r="A217" s="30" t="s">
        <v>862</v>
      </c>
      <c r="B217" s="18" t="s">
        <v>242</v>
      </c>
      <c r="C217" s="18" t="s">
        <v>733</v>
      </c>
      <c r="D217" s="73" t="s">
        <v>712</v>
      </c>
      <c r="E217" s="73"/>
      <c r="F217" s="73"/>
      <c r="G217" s="73"/>
      <c r="H217" s="15" t="s">
        <v>1148</v>
      </c>
      <c r="I217" s="15" t="s">
        <v>1148</v>
      </c>
      <c r="J217" s="15" t="s">
        <v>1148</v>
      </c>
      <c r="K217" s="56">
        <f>SUM(K218:K219)</f>
        <v>0</v>
      </c>
      <c r="L217" s="56">
        <f>SUM(L218:L219)</f>
        <v>0</v>
      </c>
      <c r="M217" s="56">
        <f>SUM(M218:M219)</f>
        <v>0</v>
      </c>
      <c r="N217" s="21" t="s">
        <v>862</v>
      </c>
      <c r="O217" s="47" t="s">
        <v>862</v>
      </c>
      <c r="AI217" s="21" t="s">
        <v>242</v>
      </c>
      <c r="AS217" s="56">
        <f>SUM(AJ218:AJ219)</f>
        <v>0</v>
      </c>
      <c r="AT217" s="56">
        <f>SUM(AK218:AK219)</f>
        <v>0</v>
      </c>
      <c r="AU217" s="56">
        <f>SUM(AL218:AL219)</f>
        <v>0</v>
      </c>
    </row>
    <row r="218" spans="1:64" ht="15" customHeight="1">
      <c r="A218" s="11" t="s">
        <v>1135</v>
      </c>
      <c r="B218" s="48" t="s">
        <v>242</v>
      </c>
      <c r="C218" s="48" t="s">
        <v>1204</v>
      </c>
      <c r="D218" s="61" t="s">
        <v>408</v>
      </c>
      <c r="E218" s="61"/>
      <c r="F218" s="61"/>
      <c r="G218" s="61"/>
      <c r="H218" s="48" t="s">
        <v>1018</v>
      </c>
      <c r="I218" s="13">
        <v>10</v>
      </c>
      <c r="J218" s="13">
        <v>0</v>
      </c>
      <c r="K218" s="13">
        <f>I218*AO218</f>
        <v>0</v>
      </c>
      <c r="L218" s="13">
        <f>I218*AP218</f>
        <v>0</v>
      </c>
      <c r="M218" s="13">
        <f>I218*J218</f>
        <v>0</v>
      </c>
      <c r="N218" s="13">
        <v>0.00076</v>
      </c>
      <c r="O218" s="10" t="s">
        <v>851</v>
      </c>
      <c r="Z218" s="13">
        <f>IF(AQ218="5",BJ218,0)</f>
        <v>0</v>
      </c>
      <c r="AB218" s="13">
        <f>IF(AQ218="1",BH218,0)</f>
        <v>0</v>
      </c>
      <c r="AC218" s="13">
        <f>IF(AQ218="1",BI218,0)</f>
        <v>0</v>
      </c>
      <c r="AD218" s="13">
        <f>IF(AQ218="7",BH218,0)</f>
        <v>0</v>
      </c>
      <c r="AE218" s="13">
        <f>IF(AQ218="7",BI218,0)</f>
        <v>0</v>
      </c>
      <c r="AF218" s="13">
        <f>IF(AQ218="2",BH218,0)</f>
        <v>0</v>
      </c>
      <c r="AG218" s="13">
        <f>IF(AQ218="2",BI218,0)</f>
        <v>0</v>
      </c>
      <c r="AH218" s="13">
        <f>IF(AQ218="0",BJ218,0)</f>
        <v>0</v>
      </c>
      <c r="AI218" s="21" t="s">
        <v>242</v>
      </c>
      <c r="AJ218" s="13">
        <f>IF(AN218=0,M218,0)</f>
        <v>0</v>
      </c>
      <c r="AK218" s="13">
        <f>IF(AN218=15,M218,0)</f>
        <v>0</v>
      </c>
      <c r="AL218" s="13">
        <f>IF(AN218=21,M218,0)</f>
        <v>0</v>
      </c>
      <c r="AN218" s="13">
        <v>21</v>
      </c>
      <c r="AO218" s="13">
        <f>J218*0.0253508005822416</f>
        <v>0</v>
      </c>
      <c r="AP218" s="13">
        <f>J218*(1-0.0253508005822416)</f>
        <v>0</v>
      </c>
      <c r="AQ218" s="32" t="s">
        <v>1231</v>
      </c>
      <c r="AV218" s="13">
        <f>AW218+AX218</f>
        <v>0</v>
      </c>
      <c r="AW218" s="13">
        <f>I218*AO218</f>
        <v>0</v>
      </c>
      <c r="AX218" s="13">
        <f>I218*AP218</f>
        <v>0</v>
      </c>
      <c r="AY218" s="32" t="s">
        <v>1294</v>
      </c>
      <c r="AZ218" s="32" t="s">
        <v>385</v>
      </c>
      <c r="BA218" s="21" t="s">
        <v>902</v>
      </c>
      <c r="BC218" s="13">
        <f>AW218+AX218</f>
        <v>0</v>
      </c>
      <c r="BD218" s="13">
        <f>J218/(100-BE218)*100</f>
        <v>0</v>
      </c>
      <c r="BE218" s="13">
        <v>0</v>
      </c>
      <c r="BF218" s="13">
        <f>218</f>
        <v>218</v>
      </c>
      <c r="BH218" s="13">
        <f>I218*AO218</f>
        <v>0</v>
      </c>
      <c r="BI218" s="13">
        <f>I218*AP218</f>
        <v>0</v>
      </c>
      <c r="BJ218" s="13">
        <f>I218*J218</f>
        <v>0</v>
      </c>
      <c r="BK218" s="13"/>
      <c r="BL218" s="13">
        <v>14</v>
      </c>
    </row>
    <row r="219" spans="1:64" ht="15" customHeight="1">
      <c r="A219" s="11" t="s">
        <v>915</v>
      </c>
      <c r="B219" s="48" t="s">
        <v>242</v>
      </c>
      <c r="C219" s="48" t="s">
        <v>1327</v>
      </c>
      <c r="D219" s="61" t="s">
        <v>170</v>
      </c>
      <c r="E219" s="61"/>
      <c r="F219" s="61"/>
      <c r="G219" s="61"/>
      <c r="H219" s="48" t="s">
        <v>1018</v>
      </c>
      <c r="I219" s="13">
        <v>10</v>
      </c>
      <c r="J219" s="13">
        <v>0</v>
      </c>
      <c r="K219" s="13">
        <f>I219*AO219</f>
        <v>0</v>
      </c>
      <c r="L219" s="13">
        <f>I219*AP219</f>
        <v>0</v>
      </c>
      <c r="M219" s="13">
        <f>I219*J219</f>
        <v>0</v>
      </c>
      <c r="N219" s="13">
        <v>0.10761</v>
      </c>
      <c r="O219" s="10" t="s">
        <v>851</v>
      </c>
      <c r="Z219" s="13">
        <f>IF(AQ219="5",BJ219,0)</f>
        <v>0</v>
      </c>
      <c r="AB219" s="13">
        <f>IF(AQ219="1",BH219,0)</f>
        <v>0</v>
      </c>
      <c r="AC219" s="13">
        <f>IF(AQ219="1",BI219,0)</f>
        <v>0</v>
      </c>
      <c r="AD219" s="13">
        <f>IF(AQ219="7",BH219,0)</f>
        <v>0</v>
      </c>
      <c r="AE219" s="13">
        <f>IF(AQ219="7",BI219,0)</f>
        <v>0</v>
      </c>
      <c r="AF219" s="13">
        <f>IF(AQ219="2",BH219,0)</f>
        <v>0</v>
      </c>
      <c r="AG219" s="13">
        <f>IF(AQ219="2",BI219,0)</f>
        <v>0</v>
      </c>
      <c r="AH219" s="13">
        <f>IF(AQ219="0",BJ219,0)</f>
        <v>0</v>
      </c>
      <c r="AI219" s="21" t="s">
        <v>242</v>
      </c>
      <c r="AJ219" s="13">
        <f>IF(AN219=0,M219,0)</f>
        <v>0</v>
      </c>
      <c r="AK219" s="13">
        <f>IF(AN219=15,M219,0)</f>
        <v>0</v>
      </c>
      <c r="AL219" s="13">
        <f>IF(AN219=21,M219,0)</f>
        <v>0</v>
      </c>
      <c r="AN219" s="13">
        <v>21</v>
      </c>
      <c r="AO219" s="13">
        <f>J219*1</f>
        <v>0</v>
      </c>
      <c r="AP219" s="13">
        <f>J219*(1-1)</f>
        <v>0</v>
      </c>
      <c r="AQ219" s="32" t="s">
        <v>1231</v>
      </c>
      <c r="AV219" s="13">
        <f>AW219+AX219</f>
        <v>0</v>
      </c>
      <c r="AW219" s="13">
        <f>I219*AO219</f>
        <v>0</v>
      </c>
      <c r="AX219" s="13">
        <f>I219*AP219</f>
        <v>0</v>
      </c>
      <c r="AY219" s="32" t="s">
        <v>1294</v>
      </c>
      <c r="AZ219" s="32" t="s">
        <v>385</v>
      </c>
      <c r="BA219" s="21" t="s">
        <v>902</v>
      </c>
      <c r="BC219" s="13">
        <f>AW219+AX219</f>
        <v>0</v>
      </c>
      <c r="BD219" s="13">
        <f>J219/(100-BE219)*100</f>
        <v>0</v>
      </c>
      <c r="BE219" s="13">
        <v>0</v>
      </c>
      <c r="BF219" s="13">
        <f>219</f>
        <v>219</v>
      </c>
      <c r="BH219" s="13">
        <f>I219*AO219</f>
        <v>0</v>
      </c>
      <c r="BI219" s="13">
        <f>I219*AP219</f>
        <v>0</v>
      </c>
      <c r="BJ219" s="13">
        <f>I219*J219</f>
        <v>0</v>
      </c>
      <c r="BK219" s="13"/>
      <c r="BL219" s="13">
        <v>14</v>
      </c>
    </row>
    <row r="220" spans="1:47" ht="15" customHeight="1">
      <c r="A220" s="30" t="s">
        <v>862</v>
      </c>
      <c r="B220" s="18" t="s">
        <v>242</v>
      </c>
      <c r="C220" s="18" t="s">
        <v>473</v>
      </c>
      <c r="D220" s="73" t="s">
        <v>1065</v>
      </c>
      <c r="E220" s="73"/>
      <c r="F220" s="73"/>
      <c r="G220" s="73"/>
      <c r="H220" s="15" t="s">
        <v>1148</v>
      </c>
      <c r="I220" s="15" t="s">
        <v>1148</v>
      </c>
      <c r="J220" s="15" t="s">
        <v>1148</v>
      </c>
      <c r="K220" s="56">
        <f>SUM(K221:K222)</f>
        <v>0</v>
      </c>
      <c r="L220" s="56">
        <f>SUM(L221:L222)</f>
        <v>0</v>
      </c>
      <c r="M220" s="56">
        <f>SUM(M221:M222)</f>
        <v>0</v>
      </c>
      <c r="N220" s="21" t="s">
        <v>862</v>
      </c>
      <c r="O220" s="47" t="s">
        <v>862</v>
      </c>
      <c r="AI220" s="21" t="s">
        <v>242</v>
      </c>
      <c r="AS220" s="56">
        <f>SUM(AJ221:AJ222)</f>
        <v>0</v>
      </c>
      <c r="AT220" s="56">
        <f>SUM(AK221:AK222)</f>
        <v>0</v>
      </c>
      <c r="AU220" s="56">
        <f>SUM(AL221:AL222)</f>
        <v>0</v>
      </c>
    </row>
    <row r="221" spans="1:64" ht="15" customHeight="1">
      <c r="A221" s="11" t="s">
        <v>1166</v>
      </c>
      <c r="B221" s="48" t="s">
        <v>242</v>
      </c>
      <c r="C221" s="48" t="s">
        <v>150</v>
      </c>
      <c r="D221" s="61" t="s">
        <v>372</v>
      </c>
      <c r="E221" s="61"/>
      <c r="F221" s="61"/>
      <c r="G221" s="61"/>
      <c r="H221" s="48" t="s">
        <v>1216</v>
      </c>
      <c r="I221" s="13">
        <v>2980.4</v>
      </c>
      <c r="J221" s="13">
        <v>0</v>
      </c>
      <c r="K221" s="13">
        <f>I221*AO221</f>
        <v>0</v>
      </c>
      <c r="L221" s="13">
        <f>I221*AP221</f>
        <v>0</v>
      </c>
      <c r="M221" s="13">
        <f>I221*J221</f>
        <v>0</v>
      </c>
      <c r="N221" s="13">
        <v>0.00086</v>
      </c>
      <c r="O221" s="10" t="s">
        <v>851</v>
      </c>
      <c r="Z221" s="13">
        <f>IF(AQ221="5",BJ221,0)</f>
        <v>0</v>
      </c>
      <c r="AB221" s="13">
        <f>IF(AQ221="1",BH221,0)</f>
        <v>0</v>
      </c>
      <c r="AC221" s="13">
        <f>IF(AQ221="1",BI221,0)</f>
        <v>0</v>
      </c>
      <c r="AD221" s="13">
        <f>IF(AQ221="7",BH221,0)</f>
        <v>0</v>
      </c>
      <c r="AE221" s="13">
        <f>IF(AQ221="7",BI221,0)</f>
        <v>0</v>
      </c>
      <c r="AF221" s="13">
        <f>IF(AQ221="2",BH221,0)</f>
        <v>0</v>
      </c>
      <c r="AG221" s="13">
        <f>IF(AQ221="2",BI221,0)</f>
        <v>0</v>
      </c>
      <c r="AH221" s="13">
        <f>IF(AQ221="0",BJ221,0)</f>
        <v>0</v>
      </c>
      <c r="AI221" s="21" t="s">
        <v>242</v>
      </c>
      <c r="AJ221" s="13">
        <f>IF(AN221=0,M221,0)</f>
        <v>0</v>
      </c>
      <c r="AK221" s="13">
        <f>IF(AN221=15,M221,0)</f>
        <v>0</v>
      </c>
      <c r="AL221" s="13">
        <f>IF(AN221=21,M221,0)</f>
        <v>0</v>
      </c>
      <c r="AN221" s="13">
        <v>21</v>
      </c>
      <c r="AO221" s="13">
        <f>J221*0.0997231833910035</f>
        <v>0</v>
      </c>
      <c r="AP221" s="13">
        <f>J221*(1-0.0997231833910035)</f>
        <v>0</v>
      </c>
      <c r="AQ221" s="32" t="s">
        <v>1231</v>
      </c>
      <c r="AV221" s="13">
        <f>AW221+AX221</f>
        <v>0</v>
      </c>
      <c r="AW221" s="13">
        <f>I221*AO221</f>
        <v>0</v>
      </c>
      <c r="AX221" s="13">
        <f>I221*AP221</f>
        <v>0</v>
      </c>
      <c r="AY221" s="32" t="s">
        <v>876</v>
      </c>
      <c r="AZ221" s="32" t="s">
        <v>385</v>
      </c>
      <c r="BA221" s="21" t="s">
        <v>902</v>
      </c>
      <c r="BC221" s="13">
        <f>AW221+AX221</f>
        <v>0</v>
      </c>
      <c r="BD221" s="13">
        <f>J221/(100-BE221)*100</f>
        <v>0</v>
      </c>
      <c r="BE221" s="13">
        <v>0</v>
      </c>
      <c r="BF221" s="13">
        <f>221</f>
        <v>221</v>
      </c>
      <c r="BH221" s="13">
        <f>I221*AO221</f>
        <v>0</v>
      </c>
      <c r="BI221" s="13">
        <f>I221*AP221</f>
        <v>0</v>
      </c>
      <c r="BJ221" s="13">
        <f>I221*J221</f>
        <v>0</v>
      </c>
      <c r="BK221" s="13"/>
      <c r="BL221" s="13">
        <v>15</v>
      </c>
    </row>
    <row r="222" spans="1:64" ht="15" customHeight="1">
      <c r="A222" s="11" t="s">
        <v>214</v>
      </c>
      <c r="B222" s="48" t="s">
        <v>242</v>
      </c>
      <c r="C222" s="48" t="s">
        <v>456</v>
      </c>
      <c r="D222" s="61" t="s">
        <v>458</v>
      </c>
      <c r="E222" s="61"/>
      <c r="F222" s="61"/>
      <c r="G222" s="61"/>
      <c r="H222" s="48" t="s">
        <v>1216</v>
      </c>
      <c r="I222" s="13">
        <v>2980.4</v>
      </c>
      <c r="J222" s="13">
        <v>0</v>
      </c>
      <c r="K222" s="13">
        <f>I222*AO222</f>
        <v>0</v>
      </c>
      <c r="L222" s="13">
        <f>I222*AP222</f>
        <v>0</v>
      </c>
      <c r="M222" s="13">
        <f>I222*J222</f>
        <v>0</v>
      </c>
      <c r="N222" s="13">
        <v>0</v>
      </c>
      <c r="O222" s="10" t="s">
        <v>851</v>
      </c>
      <c r="Z222" s="13">
        <f>IF(AQ222="5",BJ222,0)</f>
        <v>0</v>
      </c>
      <c r="AB222" s="13">
        <f>IF(AQ222="1",BH222,0)</f>
        <v>0</v>
      </c>
      <c r="AC222" s="13">
        <f>IF(AQ222="1",BI222,0)</f>
        <v>0</v>
      </c>
      <c r="AD222" s="13">
        <f>IF(AQ222="7",BH222,0)</f>
        <v>0</v>
      </c>
      <c r="AE222" s="13">
        <f>IF(AQ222="7",BI222,0)</f>
        <v>0</v>
      </c>
      <c r="AF222" s="13">
        <f>IF(AQ222="2",BH222,0)</f>
        <v>0</v>
      </c>
      <c r="AG222" s="13">
        <f>IF(AQ222="2",BI222,0)</f>
        <v>0</v>
      </c>
      <c r="AH222" s="13">
        <f>IF(AQ222="0",BJ222,0)</f>
        <v>0</v>
      </c>
      <c r="AI222" s="21" t="s">
        <v>242</v>
      </c>
      <c r="AJ222" s="13">
        <f>IF(AN222=0,M222,0)</f>
        <v>0</v>
      </c>
      <c r="AK222" s="13">
        <f>IF(AN222=15,M222,0)</f>
        <v>0</v>
      </c>
      <c r="AL222" s="13">
        <f>IF(AN222=21,M222,0)</f>
        <v>0</v>
      </c>
      <c r="AN222" s="13">
        <v>21</v>
      </c>
      <c r="AO222" s="13">
        <f>J222*0</f>
        <v>0</v>
      </c>
      <c r="AP222" s="13">
        <f>J222*(1-0)</f>
        <v>0</v>
      </c>
      <c r="AQ222" s="32" t="s">
        <v>1231</v>
      </c>
      <c r="AV222" s="13">
        <f>AW222+AX222</f>
        <v>0</v>
      </c>
      <c r="AW222" s="13">
        <f>I222*AO222</f>
        <v>0</v>
      </c>
      <c r="AX222" s="13">
        <f>I222*AP222</f>
        <v>0</v>
      </c>
      <c r="AY222" s="32" t="s">
        <v>876</v>
      </c>
      <c r="AZ222" s="32" t="s">
        <v>385</v>
      </c>
      <c r="BA222" s="21" t="s">
        <v>902</v>
      </c>
      <c r="BC222" s="13">
        <f>AW222+AX222</f>
        <v>0</v>
      </c>
      <c r="BD222" s="13">
        <f>J222/(100-BE222)*100</f>
        <v>0</v>
      </c>
      <c r="BE222" s="13">
        <v>0</v>
      </c>
      <c r="BF222" s="13">
        <f>222</f>
        <v>222</v>
      </c>
      <c r="BH222" s="13">
        <f>I222*AO222</f>
        <v>0</v>
      </c>
      <c r="BI222" s="13">
        <f>I222*AP222</f>
        <v>0</v>
      </c>
      <c r="BJ222" s="13">
        <f>I222*J222</f>
        <v>0</v>
      </c>
      <c r="BK222" s="13"/>
      <c r="BL222" s="13">
        <v>15</v>
      </c>
    </row>
    <row r="223" spans="1:47" ht="15" customHeight="1">
      <c r="A223" s="30" t="s">
        <v>862</v>
      </c>
      <c r="B223" s="18" t="s">
        <v>242</v>
      </c>
      <c r="C223" s="18" t="s">
        <v>113</v>
      </c>
      <c r="D223" s="73" t="s">
        <v>1028</v>
      </c>
      <c r="E223" s="73"/>
      <c r="F223" s="73"/>
      <c r="G223" s="73"/>
      <c r="H223" s="15" t="s">
        <v>1148</v>
      </c>
      <c r="I223" s="15" t="s">
        <v>1148</v>
      </c>
      <c r="J223" s="15" t="s">
        <v>1148</v>
      </c>
      <c r="K223" s="56">
        <f>SUM(K224:K225)</f>
        <v>0</v>
      </c>
      <c r="L223" s="56">
        <f>SUM(L224:L225)</f>
        <v>0</v>
      </c>
      <c r="M223" s="56">
        <f>SUM(M224:M225)</f>
        <v>0</v>
      </c>
      <c r="N223" s="21" t="s">
        <v>862</v>
      </c>
      <c r="O223" s="47" t="s">
        <v>862</v>
      </c>
      <c r="AI223" s="21" t="s">
        <v>242</v>
      </c>
      <c r="AS223" s="56">
        <f>SUM(AJ224:AJ225)</f>
        <v>0</v>
      </c>
      <c r="AT223" s="56">
        <f>SUM(AK224:AK225)</f>
        <v>0</v>
      </c>
      <c r="AU223" s="56">
        <f>SUM(AL224:AL225)</f>
        <v>0</v>
      </c>
    </row>
    <row r="224" spans="1:64" ht="15" customHeight="1">
      <c r="A224" s="11" t="s">
        <v>568</v>
      </c>
      <c r="B224" s="48" t="s">
        <v>242</v>
      </c>
      <c r="C224" s="48" t="s">
        <v>18</v>
      </c>
      <c r="D224" s="61" t="s">
        <v>1035</v>
      </c>
      <c r="E224" s="61"/>
      <c r="F224" s="61"/>
      <c r="G224" s="61"/>
      <c r="H224" s="48" t="s">
        <v>1195</v>
      </c>
      <c r="I224" s="13">
        <v>472.13</v>
      </c>
      <c r="J224" s="13">
        <v>0</v>
      </c>
      <c r="K224" s="13">
        <f>I224*AO224</f>
        <v>0</v>
      </c>
      <c r="L224" s="13">
        <f>I224*AP224</f>
        <v>0</v>
      </c>
      <c r="M224" s="13">
        <f>I224*J224</f>
        <v>0</v>
      </c>
      <c r="N224" s="13">
        <v>0</v>
      </c>
      <c r="O224" s="10" t="s">
        <v>851</v>
      </c>
      <c r="Z224" s="13">
        <f>IF(AQ224="5",BJ224,0)</f>
        <v>0</v>
      </c>
      <c r="AB224" s="13">
        <f>IF(AQ224="1",BH224,0)</f>
        <v>0</v>
      </c>
      <c r="AC224" s="13">
        <f>IF(AQ224="1",BI224,0)</f>
        <v>0</v>
      </c>
      <c r="AD224" s="13">
        <f>IF(AQ224="7",BH224,0)</f>
        <v>0</v>
      </c>
      <c r="AE224" s="13">
        <f>IF(AQ224="7",BI224,0)</f>
        <v>0</v>
      </c>
      <c r="AF224" s="13">
        <f>IF(AQ224="2",BH224,0)</f>
        <v>0</v>
      </c>
      <c r="AG224" s="13">
        <f>IF(AQ224="2",BI224,0)</f>
        <v>0</v>
      </c>
      <c r="AH224" s="13">
        <f>IF(AQ224="0",BJ224,0)</f>
        <v>0</v>
      </c>
      <c r="AI224" s="21" t="s">
        <v>242</v>
      </c>
      <c r="AJ224" s="13">
        <f>IF(AN224=0,M224,0)</f>
        <v>0</v>
      </c>
      <c r="AK224" s="13">
        <f>IF(AN224=15,M224,0)</f>
        <v>0</v>
      </c>
      <c r="AL224" s="13">
        <f>IF(AN224=21,M224,0)</f>
        <v>0</v>
      </c>
      <c r="AN224" s="13">
        <v>21</v>
      </c>
      <c r="AO224" s="13">
        <f>J224*0</f>
        <v>0</v>
      </c>
      <c r="AP224" s="13">
        <f>J224*(1-0)</f>
        <v>0</v>
      </c>
      <c r="AQ224" s="32" t="s">
        <v>1231</v>
      </c>
      <c r="AV224" s="13">
        <f>AW224+AX224</f>
        <v>0</v>
      </c>
      <c r="AW224" s="13">
        <f>I224*AO224</f>
        <v>0</v>
      </c>
      <c r="AX224" s="13">
        <f>I224*AP224</f>
        <v>0</v>
      </c>
      <c r="AY224" s="32" t="s">
        <v>1151</v>
      </c>
      <c r="AZ224" s="32" t="s">
        <v>385</v>
      </c>
      <c r="BA224" s="21" t="s">
        <v>902</v>
      </c>
      <c r="BC224" s="13">
        <f>AW224+AX224</f>
        <v>0</v>
      </c>
      <c r="BD224" s="13">
        <f>J224/(100-BE224)*100</f>
        <v>0</v>
      </c>
      <c r="BE224" s="13">
        <v>0</v>
      </c>
      <c r="BF224" s="13">
        <f>224</f>
        <v>224</v>
      </c>
      <c r="BH224" s="13">
        <f>I224*AO224</f>
        <v>0</v>
      </c>
      <c r="BI224" s="13">
        <f>I224*AP224</f>
        <v>0</v>
      </c>
      <c r="BJ224" s="13">
        <f>I224*J224</f>
        <v>0</v>
      </c>
      <c r="BK224" s="13"/>
      <c r="BL224" s="13">
        <v>16</v>
      </c>
    </row>
    <row r="225" spans="1:64" ht="15" customHeight="1">
      <c r="A225" s="11" t="s">
        <v>681</v>
      </c>
      <c r="B225" s="48" t="s">
        <v>242</v>
      </c>
      <c r="C225" s="48" t="s">
        <v>560</v>
      </c>
      <c r="D225" s="61" t="s">
        <v>663</v>
      </c>
      <c r="E225" s="61"/>
      <c r="F225" s="61"/>
      <c r="G225" s="61"/>
      <c r="H225" s="48" t="s">
        <v>1195</v>
      </c>
      <c r="I225" s="13">
        <v>4721.3</v>
      </c>
      <c r="J225" s="13">
        <v>0</v>
      </c>
      <c r="K225" s="13">
        <f>I225*AO225</f>
        <v>0</v>
      </c>
      <c r="L225" s="13">
        <f>I225*AP225</f>
        <v>0</v>
      </c>
      <c r="M225" s="13">
        <f>I225*J225</f>
        <v>0</v>
      </c>
      <c r="N225" s="13">
        <v>0</v>
      </c>
      <c r="O225" s="10" t="s">
        <v>851</v>
      </c>
      <c r="Z225" s="13">
        <f>IF(AQ225="5",BJ225,0)</f>
        <v>0</v>
      </c>
      <c r="AB225" s="13">
        <f>IF(AQ225="1",BH225,0)</f>
        <v>0</v>
      </c>
      <c r="AC225" s="13">
        <f>IF(AQ225="1",BI225,0)</f>
        <v>0</v>
      </c>
      <c r="AD225" s="13">
        <f>IF(AQ225="7",BH225,0)</f>
        <v>0</v>
      </c>
      <c r="AE225" s="13">
        <f>IF(AQ225="7",BI225,0)</f>
        <v>0</v>
      </c>
      <c r="AF225" s="13">
        <f>IF(AQ225="2",BH225,0)</f>
        <v>0</v>
      </c>
      <c r="AG225" s="13">
        <f>IF(AQ225="2",BI225,0)</f>
        <v>0</v>
      </c>
      <c r="AH225" s="13">
        <f>IF(AQ225="0",BJ225,0)</f>
        <v>0</v>
      </c>
      <c r="AI225" s="21" t="s">
        <v>242</v>
      </c>
      <c r="AJ225" s="13">
        <f>IF(AN225=0,M225,0)</f>
        <v>0</v>
      </c>
      <c r="AK225" s="13">
        <f>IF(AN225=15,M225,0)</f>
        <v>0</v>
      </c>
      <c r="AL225" s="13">
        <f>IF(AN225=21,M225,0)</f>
        <v>0</v>
      </c>
      <c r="AN225" s="13">
        <v>21</v>
      </c>
      <c r="AO225" s="13">
        <f>J225*0</f>
        <v>0</v>
      </c>
      <c r="AP225" s="13">
        <f>J225*(1-0)</f>
        <v>0</v>
      </c>
      <c r="AQ225" s="32" t="s">
        <v>1231</v>
      </c>
      <c r="AV225" s="13">
        <f>AW225+AX225</f>
        <v>0</v>
      </c>
      <c r="AW225" s="13">
        <f>I225*AO225</f>
        <v>0</v>
      </c>
      <c r="AX225" s="13">
        <f>I225*AP225</f>
        <v>0</v>
      </c>
      <c r="AY225" s="32" t="s">
        <v>1151</v>
      </c>
      <c r="AZ225" s="32" t="s">
        <v>385</v>
      </c>
      <c r="BA225" s="21" t="s">
        <v>902</v>
      </c>
      <c r="BC225" s="13">
        <f>AW225+AX225</f>
        <v>0</v>
      </c>
      <c r="BD225" s="13">
        <f>J225/(100-BE225)*100</f>
        <v>0</v>
      </c>
      <c r="BE225" s="13">
        <v>0</v>
      </c>
      <c r="BF225" s="13">
        <f>225</f>
        <v>225</v>
      </c>
      <c r="BH225" s="13">
        <f>I225*AO225</f>
        <v>0</v>
      </c>
      <c r="BI225" s="13">
        <f>I225*AP225</f>
        <v>0</v>
      </c>
      <c r="BJ225" s="13">
        <f>I225*J225</f>
        <v>0</v>
      </c>
      <c r="BK225" s="13"/>
      <c r="BL225" s="13">
        <v>16</v>
      </c>
    </row>
    <row r="226" spans="1:47" ht="15" customHeight="1">
      <c r="A226" s="30" t="s">
        <v>862</v>
      </c>
      <c r="B226" s="18" t="s">
        <v>242</v>
      </c>
      <c r="C226" s="18" t="s">
        <v>868</v>
      </c>
      <c r="D226" s="73" t="s">
        <v>167</v>
      </c>
      <c r="E226" s="73"/>
      <c r="F226" s="73"/>
      <c r="G226" s="73"/>
      <c r="H226" s="15" t="s">
        <v>1148</v>
      </c>
      <c r="I226" s="15" t="s">
        <v>1148</v>
      </c>
      <c r="J226" s="15" t="s">
        <v>1148</v>
      </c>
      <c r="K226" s="56">
        <f>SUM(K227:K228)</f>
        <v>0</v>
      </c>
      <c r="L226" s="56">
        <f>SUM(L227:L228)</f>
        <v>0</v>
      </c>
      <c r="M226" s="56">
        <f>SUM(M227:M228)</f>
        <v>0</v>
      </c>
      <c r="N226" s="21" t="s">
        <v>862</v>
      </c>
      <c r="O226" s="47" t="s">
        <v>862</v>
      </c>
      <c r="AI226" s="21" t="s">
        <v>242</v>
      </c>
      <c r="AS226" s="56">
        <f>SUM(AJ227:AJ228)</f>
        <v>0</v>
      </c>
      <c r="AT226" s="56">
        <f>SUM(AK227:AK228)</f>
        <v>0</v>
      </c>
      <c r="AU226" s="56">
        <f>SUM(AL227:AL228)</f>
        <v>0</v>
      </c>
    </row>
    <row r="227" spans="1:64" ht="15" customHeight="1">
      <c r="A227" s="11" t="s">
        <v>1114</v>
      </c>
      <c r="B227" s="48" t="s">
        <v>242</v>
      </c>
      <c r="C227" s="48" t="s">
        <v>1079</v>
      </c>
      <c r="D227" s="61" t="s">
        <v>39</v>
      </c>
      <c r="E227" s="61"/>
      <c r="F227" s="61"/>
      <c r="G227" s="61"/>
      <c r="H227" s="48" t="s">
        <v>1195</v>
      </c>
      <c r="I227" s="13">
        <v>375.482</v>
      </c>
      <c r="J227" s="13">
        <v>0</v>
      </c>
      <c r="K227" s="13">
        <f>I227*AO227</f>
        <v>0</v>
      </c>
      <c r="L227" s="13">
        <f>I227*AP227</f>
        <v>0</v>
      </c>
      <c r="M227" s="13">
        <f>I227*J227</f>
        <v>0</v>
      </c>
      <c r="N227" s="13">
        <v>1.7</v>
      </c>
      <c r="O227" s="10" t="s">
        <v>851</v>
      </c>
      <c r="Z227" s="13">
        <f>IF(AQ227="5",BJ227,0)</f>
        <v>0</v>
      </c>
      <c r="AB227" s="13">
        <f>IF(AQ227="1",BH227,0)</f>
        <v>0</v>
      </c>
      <c r="AC227" s="13">
        <f>IF(AQ227="1",BI227,0)</f>
        <v>0</v>
      </c>
      <c r="AD227" s="13">
        <f>IF(AQ227="7",BH227,0)</f>
        <v>0</v>
      </c>
      <c r="AE227" s="13">
        <f>IF(AQ227="7",BI227,0)</f>
        <v>0</v>
      </c>
      <c r="AF227" s="13">
        <f>IF(AQ227="2",BH227,0)</f>
        <v>0</v>
      </c>
      <c r="AG227" s="13">
        <f>IF(AQ227="2",BI227,0)</f>
        <v>0</v>
      </c>
      <c r="AH227" s="13">
        <f>IF(AQ227="0",BJ227,0)</f>
        <v>0</v>
      </c>
      <c r="AI227" s="21" t="s">
        <v>242</v>
      </c>
      <c r="AJ227" s="13">
        <f>IF(AN227=0,M227,0)</f>
        <v>0</v>
      </c>
      <c r="AK227" s="13">
        <f>IF(AN227=15,M227,0)</f>
        <v>0</v>
      </c>
      <c r="AL227" s="13">
        <f>IF(AN227=21,M227,0)</f>
        <v>0</v>
      </c>
      <c r="AN227" s="13">
        <v>21</v>
      </c>
      <c r="AO227" s="13">
        <f>J227*0.503380668173122</f>
        <v>0</v>
      </c>
      <c r="AP227" s="13">
        <f>J227*(1-0.503380668173122)</f>
        <v>0</v>
      </c>
      <c r="AQ227" s="32" t="s">
        <v>1231</v>
      </c>
      <c r="AV227" s="13">
        <f>AW227+AX227</f>
        <v>0</v>
      </c>
      <c r="AW227" s="13">
        <f>I227*AO227</f>
        <v>0</v>
      </c>
      <c r="AX227" s="13">
        <f>I227*AP227</f>
        <v>0</v>
      </c>
      <c r="AY227" s="32" t="s">
        <v>238</v>
      </c>
      <c r="AZ227" s="32" t="s">
        <v>385</v>
      </c>
      <c r="BA227" s="21" t="s">
        <v>902</v>
      </c>
      <c r="BC227" s="13">
        <f>AW227+AX227</f>
        <v>0</v>
      </c>
      <c r="BD227" s="13">
        <f>J227/(100-BE227)*100</f>
        <v>0</v>
      </c>
      <c r="BE227" s="13">
        <v>0</v>
      </c>
      <c r="BF227" s="13">
        <f>227</f>
        <v>227</v>
      </c>
      <c r="BH227" s="13">
        <f>I227*AO227</f>
        <v>0</v>
      </c>
      <c r="BI227" s="13">
        <f>I227*AP227</f>
        <v>0</v>
      </c>
      <c r="BJ227" s="13">
        <f>I227*J227</f>
        <v>0</v>
      </c>
      <c r="BK227" s="13"/>
      <c r="BL227" s="13">
        <v>17</v>
      </c>
    </row>
    <row r="228" spans="1:64" ht="15" customHeight="1">
      <c r="A228" s="11" t="s">
        <v>1250</v>
      </c>
      <c r="B228" s="48" t="s">
        <v>242</v>
      </c>
      <c r="C228" s="48" t="s">
        <v>911</v>
      </c>
      <c r="D228" s="61" t="s">
        <v>638</v>
      </c>
      <c r="E228" s="61"/>
      <c r="F228" s="61"/>
      <c r="G228" s="61"/>
      <c r="H228" s="48" t="s">
        <v>1195</v>
      </c>
      <c r="I228" s="13">
        <v>1713.06508</v>
      </c>
      <c r="J228" s="13">
        <v>0</v>
      </c>
      <c r="K228" s="13">
        <f>I228*AO228</f>
        <v>0</v>
      </c>
      <c r="L228" s="13">
        <f>I228*AP228</f>
        <v>0</v>
      </c>
      <c r="M228" s="13">
        <f>I228*J228</f>
        <v>0</v>
      </c>
      <c r="N228" s="13">
        <v>0</v>
      </c>
      <c r="O228" s="10" t="s">
        <v>851</v>
      </c>
      <c r="Z228" s="13">
        <f>IF(AQ228="5",BJ228,0)</f>
        <v>0</v>
      </c>
      <c r="AB228" s="13">
        <f>IF(AQ228="1",BH228,0)</f>
        <v>0</v>
      </c>
      <c r="AC228" s="13">
        <f>IF(AQ228="1",BI228,0)</f>
        <v>0</v>
      </c>
      <c r="AD228" s="13">
        <f>IF(AQ228="7",BH228,0)</f>
        <v>0</v>
      </c>
      <c r="AE228" s="13">
        <f>IF(AQ228="7",BI228,0)</f>
        <v>0</v>
      </c>
      <c r="AF228" s="13">
        <f>IF(AQ228="2",BH228,0)</f>
        <v>0</v>
      </c>
      <c r="AG228" s="13">
        <f>IF(AQ228="2",BI228,0)</f>
        <v>0</v>
      </c>
      <c r="AH228" s="13">
        <f>IF(AQ228="0",BJ228,0)</f>
        <v>0</v>
      </c>
      <c r="AI228" s="21" t="s">
        <v>242</v>
      </c>
      <c r="AJ228" s="13">
        <f>IF(AN228=0,M228,0)</f>
        <v>0</v>
      </c>
      <c r="AK228" s="13">
        <f>IF(AN228=15,M228,0)</f>
        <v>0</v>
      </c>
      <c r="AL228" s="13">
        <f>IF(AN228=21,M228,0)</f>
        <v>0</v>
      </c>
      <c r="AN228" s="13">
        <v>21</v>
      </c>
      <c r="AO228" s="13">
        <f>J228*0</f>
        <v>0</v>
      </c>
      <c r="AP228" s="13">
        <f>J228*(1-0)</f>
        <v>0</v>
      </c>
      <c r="AQ228" s="32" t="s">
        <v>1231</v>
      </c>
      <c r="AV228" s="13">
        <f>AW228+AX228</f>
        <v>0</v>
      </c>
      <c r="AW228" s="13">
        <f>I228*AO228</f>
        <v>0</v>
      </c>
      <c r="AX228" s="13">
        <f>I228*AP228</f>
        <v>0</v>
      </c>
      <c r="AY228" s="32" t="s">
        <v>238</v>
      </c>
      <c r="AZ228" s="32" t="s">
        <v>385</v>
      </c>
      <c r="BA228" s="21" t="s">
        <v>902</v>
      </c>
      <c r="BC228" s="13">
        <f>AW228+AX228</f>
        <v>0</v>
      </c>
      <c r="BD228" s="13">
        <f>J228/(100-BE228)*100</f>
        <v>0</v>
      </c>
      <c r="BE228" s="13">
        <v>0</v>
      </c>
      <c r="BF228" s="13">
        <f>228</f>
        <v>228</v>
      </c>
      <c r="BH228" s="13">
        <f>I228*AO228</f>
        <v>0</v>
      </c>
      <c r="BI228" s="13">
        <f>I228*AP228</f>
        <v>0</v>
      </c>
      <c r="BJ228" s="13">
        <f>I228*J228</f>
        <v>0</v>
      </c>
      <c r="BK228" s="13"/>
      <c r="BL228" s="13">
        <v>17</v>
      </c>
    </row>
    <row r="229" spans="1:47" ht="15" customHeight="1">
      <c r="A229" s="30" t="s">
        <v>862</v>
      </c>
      <c r="B229" s="18" t="s">
        <v>242</v>
      </c>
      <c r="C229" s="18" t="s">
        <v>789</v>
      </c>
      <c r="D229" s="73" t="s">
        <v>419</v>
      </c>
      <c r="E229" s="73"/>
      <c r="F229" s="73"/>
      <c r="G229" s="73"/>
      <c r="H229" s="15" t="s">
        <v>1148</v>
      </c>
      <c r="I229" s="15" t="s">
        <v>1148</v>
      </c>
      <c r="J229" s="15" t="s">
        <v>1148</v>
      </c>
      <c r="K229" s="56">
        <f>SUM(K230:K230)</f>
        <v>0</v>
      </c>
      <c r="L229" s="56">
        <f>SUM(L230:L230)</f>
        <v>0</v>
      </c>
      <c r="M229" s="56">
        <f>SUM(M230:M230)</f>
        <v>0</v>
      </c>
      <c r="N229" s="21" t="s">
        <v>862</v>
      </c>
      <c r="O229" s="47" t="s">
        <v>862</v>
      </c>
      <c r="AI229" s="21" t="s">
        <v>242</v>
      </c>
      <c r="AS229" s="56">
        <f>SUM(AJ230:AJ230)</f>
        <v>0</v>
      </c>
      <c r="AT229" s="56">
        <f>SUM(AK230:AK230)</f>
        <v>0</v>
      </c>
      <c r="AU229" s="56">
        <f>SUM(AL230:AL230)</f>
        <v>0</v>
      </c>
    </row>
    <row r="230" spans="1:64" ht="15" customHeight="1">
      <c r="A230" s="11" t="s">
        <v>9</v>
      </c>
      <c r="B230" s="48" t="s">
        <v>242</v>
      </c>
      <c r="C230" s="48" t="s">
        <v>849</v>
      </c>
      <c r="D230" s="61" t="s">
        <v>1192</v>
      </c>
      <c r="E230" s="61"/>
      <c r="F230" s="61"/>
      <c r="G230" s="61"/>
      <c r="H230" s="48" t="s">
        <v>1195</v>
      </c>
      <c r="I230" s="13">
        <v>461.28</v>
      </c>
      <c r="J230" s="13">
        <v>0</v>
      </c>
      <c r="K230" s="13">
        <f>I230*AO230</f>
        <v>0</v>
      </c>
      <c r="L230" s="13">
        <f>I230*AP230</f>
        <v>0</v>
      </c>
      <c r="M230" s="13">
        <f>I230*J230</f>
        <v>0</v>
      </c>
      <c r="N230" s="13">
        <v>0</v>
      </c>
      <c r="O230" s="10" t="s">
        <v>851</v>
      </c>
      <c r="Z230" s="13">
        <f>IF(AQ230="5",BJ230,0)</f>
        <v>0</v>
      </c>
      <c r="AB230" s="13">
        <f>IF(AQ230="1",BH230,0)</f>
        <v>0</v>
      </c>
      <c r="AC230" s="13">
        <f>IF(AQ230="1",BI230,0)</f>
        <v>0</v>
      </c>
      <c r="AD230" s="13">
        <f>IF(AQ230="7",BH230,0)</f>
        <v>0</v>
      </c>
      <c r="AE230" s="13">
        <f>IF(AQ230="7",BI230,0)</f>
        <v>0</v>
      </c>
      <c r="AF230" s="13">
        <f>IF(AQ230="2",BH230,0)</f>
        <v>0</v>
      </c>
      <c r="AG230" s="13">
        <f>IF(AQ230="2",BI230,0)</f>
        <v>0</v>
      </c>
      <c r="AH230" s="13">
        <f>IF(AQ230="0",BJ230,0)</f>
        <v>0</v>
      </c>
      <c r="AI230" s="21" t="s">
        <v>242</v>
      </c>
      <c r="AJ230" s="13">
        <f>IF(AN230=0,M230,0)</f>
        <v>0</v>
      </c>
      <c r="AK230" s="13">
        <f>IF(AN230=15,M230,0)</f>
        <v>0</v>
      </c>
      <c r="AL230" s="13">
        <f>IF(AN230=21,M230,0)</f>
        <v>0</v>
      </c>
      <c r="AN230" s="13">
        <v>21</v>
      </c>
      <c r="AO230" s="13">
        <f>J230*0</f>
        <v>0</v>
      </c>
      <c r="AP230" s="13">
        <f>J230*(1-0)</f>
        <v>0</v>
      </c>
      <c r="AQ230" s="32" t="s">
        <v>1231</v>
      </c>
      <c r="AV230" s="13">
        <f>AW230+AX230</f>
        <v>0</v>
      </c>
      <c r="AW230" s="13">
        <f>I230*AO230</f>
        <v>0</v>
      </c>
      <c r="AX230" s="13">
        <f>I230*AP230</f>
        <v>0</v>
      </c>
      <c r="AY230" s="32" t="s">
        <v>976</v>
      </c>
      <c r="AZ230" s="32" t="s">
        <v>385</v>
      </c>
      <c r="BA230" s="21" t="s">
        <v>902</v>
      </c>
      <c r="BC230" s="13">
        <f>AW230+AX230</f>
        <v>0</v>
      </c>
      <c r="BD230" s="13">
        <f>J230/(100-BE230)*100</f>
        <v>0</v>
      </c>
      <c r="BE230" s="13">
        <v>0</v>
      </c>
      <c r="BF230" s="13">
        <f>230</f>
        <v>230</v>
      </c>
      <c r="BH230" s="13">
        <f>I230*AO230</f>
        <v>0</v>
      </c>
      <c r="BI230" s="13">
        <f>I230*AP230</f>
        <v>0</v>
      </c>
      <c r="BJ230" s="13">
        <f>I230*J230</f>
        <v>0</v>
      </c>
      <c r="BK230" s="13"/>
      <c r="BL230" s="13">
        <v>19</v>
      </c>
    </row>
    <row r="231" spans="1:47" ht="15" customHeight="1">
      <c r="A231" s="30" t="s">
        <v>862</v>
      </c>
      <c r="B231" s="18" t="s">
        <v>242</v>
      </c>
      <c r="C231" s="18" t="s">
        <v>423</v>
      </c>
      <c r="D231" s="73" t="s">
        <v>968</v>
      </c>
      <c r="E231" s="73"/>
      <c r="F231" s="73"/>
      <c r="G231" s="73"/>
      <c r="H231" s="15" t="s">
        <v>1148</v>
      </c>
      <c r="I231" s="15" t="s">
        <v>1148</v>
      </c>
      <c r="J231" s="15" t="s">
        <v>1148</v>
      </c>
      <c r="K231" s="56">
        <f>SUM(K232:K233)</f>
        <v>0</v>
      </c>
      <c r="L231" s="56">
        <f>SUM(L232:L233)</f>
        <v>0</v>
      </c>
      <c r="M231" s="56">
        <f>SUM(M232:M233)</f>
        <v>0</v>
      </c>
      <c r="N231" s="21" t="s">
        <v>862</v>
      </c>
      <c r="O231" s="47" t="s">
        <v>862</v>
      </c>
      <c r="AI231" s="21" t="s">
        <v>242</v>
      </c>
      <c r="AS231" s="56">
        <f>SUM(AJ232:AJ233)</f>
        <v>0</v>
      </c>
      <c r="AT231" s="56">
        <f>SUM(AK232:AK233)</f>
        <v>0</v>
      </c>
      <c r="AU231" s="56">
        <f>SUM(AL232:AL233)</f>
        <v>0</v>
      </c>
    </row>
    <row r="232" spans="1:64" ht="15" customHeight="1">
      <c r="A232" s="11" t="s">
        <v>48</v>
      </c>
      <c r="B232" s="48" t="s">
        <v>242</v>
      </c>
      <c r="C232" s="48" t="s">
        <v>880</v>
      </c>
      <c r="D232" s="61" t="s">
        <v>358</v>
      </c>
      <c r="E232" s="61"/>
      <c r="F232" s="61"/>
      <c r="G232" s="61"/>
      <c r="H232" s="48" t="s">
        <v>1195</v>
      </c>
      <c r="I232" s="13">
        <v>154.7267</v>
      </c>
      <c r="J232" s="13">
        <v>0</v>
      </c>
      <c r="K232" s="13">
        <f>I232*AO232</f>
        <v>0</v>
      </c>
      <c r="L232" s="13">
        <f>I232*AP232</f>
        <v>0</v>
      </c>
      <c r="M232" s="13">
        <f>I232*J232</f>
        <v>0</v>
      </c>
      <c r="N232" s="13">
        <v>1.89077</v>
      </c>
      <c r="O232" s="10" t="s">
        <v>851</v>
      </c>
      <c r="Z232" s="13">
        <f>IF(AQ232="5",BJ232,0)</f>
        <v>0</v>
      </c>
      <c r="AB232" s="13">
        <f>IF(AQ232="1",BH232,0)</f>
        <v>0</v>
      </c>
      <c r="AC232" s="13">
        <f>IF(AQ232="1",BI232,0)</f>
        <v>0</v>
      </c>
      <c r="AD232" s="13">
        <f>IF(AQ232="7",BH232,0)</f>
        <v>0</v>
      </c>
      <c r="AE232" s="13">
        <f>IF(AQ232="7",BI232,0)</f>
        <v>0</v>
      </c>
      <c r="AF232" s="13">
        <f>IF(AQ232="2",BH232,0)</f>
        <v>0</v>
      </c>
      <c r="AG232" s="13">
        <f>IF(AQ232="2",BI232,0)</f>
        <v>0</v>
      </c>
      <c r="AH232" s="13">
        <f>IF(AQ232="0",BJ232,0)</f>
        <v>0</v>
      </c>
      <c r="AI232" s="21" t="s">
        <v>242</v>
      </c>
      <c r="AJ232" s="13">
        <f>IF(AN232=0,M232,0)</f>
        <v>0</v>
      </c>
      <c r="AK232" s="13">
        <f>IF(AN232=15,M232,0)</f>
        <v>0</v>
      </c>
      <c r="AL232" s="13">
        <f>IF(AN232=21,M232,0)</f>
        <v>0</v>
      </c>
      <c r="AN232" s="13">
        <v>21</v>
      </c>
      <c r="AO232" s="13">
        <f>J232*0.480904551320592</f>
        <v>0</v>
      </c>
      <c r="AP232" s="13">
        <f>J232*(1-0.480904551320592)</f>
        <v>0</v>
      </c>
      <c r="AQ232" s="32" t="s">
        <v>1231</v>
      </c>
      <c r="AV232" s="13">
        <f>AW232+AX232</f>
        <v>0</v>
      </c>
      <c r="AW232" s="13">
        <f>I232*AO232</f>
        <v>0</v>
      </c>
      <c r="AX232" s="13">
        <f>I232*AP232</f>
        <v>0</v>
      </c>
      <c r="AY232" s="32" t="s">
        <v>594</v>
      </c>
      <c r="AZ232" s="32" t="s">
        <v>1157</v>
      </c>
      <c r="BA232" s="21" t="s">
        <v>902</v>
      </c>
      <c r="BC232" s="13">
        <f>AW232+AX232</f>
        <v>0</v>
      </c>
      <c r="BD232" s="13">
        <f>J232/(100-BE232)*100</f>
        <v>0</v>
      </c>
      <c r="BE232" s="13">
        <v>0</v>
      </c>
      <c r="BF232" s="13">
        <f>232</f>
        <v>232</v>
      </c>
      <c r="BH232" s="13">
        <f>I232*AO232</f>
        <v>0</v>
      </c>
      <c r="BI232" s="13">
        <f>I232*AP232</f>
        <v>0</v>
      </c>
      <c r="BJ232" s="13">
        <f>I232*J232</f>
        <v>0</v>
      </c>
      <c r="BK232" s="13"/>
      <c r="BL232" s="13">
        <v>45</v>
      </c>
    </row>
    <row r="233" spans="1:64" ht="15" customHeight="1">
      <c r="A233" s="11" t="s">
        <v>73</v>
      </c>
      <c r="B233" s="48" t="s">
        <v>242</v>
      </c>
      <c r="C233" s="48" t="s">
        <v>995</v>
      </c>
      <c r="D233" s="61" t="s">
        <v>1335</v>
      </c>
      <c r="E233" s="61"/>
      <c r="F233" s="61"/>
      <c r="G233" s="61"/>
      <c r="H233" s="48" t="s">
        <v>1195</v>
      </c>
      <c r="I233" s="13">
        <v>3.6</v>
      </c>
      <c r="J233" s="13">
        <v>0</v>
      </c>
      <c r="K233" s="13">
        <f>I233*AO233</f>
        <v>0</v>
      </c>
      <c r="L233" s="13">
        <f>I233*AP233</f>
        <v>0</v>
      </c>
      <c r="M233" s="13">
        <f>I233*J233</f>
        <v>0</v>
      </c>
      <c r="N233" s="13">
        <v>2.5</v>
      </c>
      <c r="O233" s="10" t="s">
        <v>851</v>
      </c>
      <c r="Z233" s="13">
        <f>IF(AQ233="5",BJ233,0)</f>
        <v>0</v>
      </c>
      <c r="AB233" s="13">
        <f>IF(AQ233="1",BH233,0)</f>
        <v>0</v>
      </c>
      <c r="AC233" s="13">
        <f>IF(AQ233="1",BI233,0)</f>
        <v>0</v>
      </c>
      <c r="AD233" s="13">
        <f>IF(AQ233="7",BH233,0)</f>
        <v>0</v>
      </c>
      <c r="AE233" s="13">
        <f>IF(AQ233="7",BI233,0)</f>
        <v>0</v>
      </c>
      <c r="AF233" s="13">
        <f>IF(AQ233="2",BH233,0)</f>
        <v>0</v>
      </c>
      <c r="AG233" s="13">
        <f>IF(AQ233="2",BI233,0)</f>
        <v>0</v>
      </c>
      <c r="AH233" s="13">
        <f>IF(AQ233="0",BJ233,0)</f>
        <v>0</v>
      </c>
      <c r="AI233" s="21" t="s">
        <v>242</v>
      </c>
      <c r="AJ233" s="13">
        <f>IF(AN233=0,M233,0)</f>
        <v>0</v>
      </c>
      <c r="AK233" s="13">
        <f>IF(AN233=15,M233,0)</f>
        <v>0</v>
      </c>
      <c r="AL233" s="13">
        <f>IF(AN233=21,M233,0)</f>
        <v>0</v>
      </c>
      <c r="AN233" s="13">
        <v>21</v>
      </c>
      <c r="AO233" s="13">
        <f>J233*0.786681350954479</f>
        <v>0</v>
      </c>
      <c r="AP233" s="13">
        <f>J233*(1-0.786681350954479)</f>
        <v>0</v>
      </c>
      <c r="AQ233" s="32" t="s">
        <v>1231</v>
      </c>
      <c r="AV233" s="13">
        <f>AW233+AX233</f>
        <v>0</v>
      </c>
      <c r="AW233" s="13">
        <f>I233*AO233</f>
        <v>0</v>
      </c>
      <c r="AX233" s="13">
        <f>I233*AP233</f>
        <v>0</v>
      </c>
      <c r="AY233" s="32" t="s">
        <v>594</v>
      </c>
      <c r="AZ233" s="32" t="s">
        <v>1157</v>
      </c>
      <c r="BA233" s="21" t="s">
        <v>902</v>
      </c>
      <c r="BC233" s="13">
        <f>AW233+AX233</f>
        <v>0</v>
      </c>
      <c r="BD233" s="13">
        <f>J233/(100-BE233)*100</f>
        <v>0</v>
      </c>
      <c r="BE233" s="13">
        <v>0</v>
      </c>
      <c r="BF233" s="13">
        <f>233</f>
        <v>233</v>
      </c>
      <c r="BH233" s="13">
        <f>I233*AO233</f>
        <v>0</v>
      </c>
      <c r="BI233" s="13">
        <f>I233*AP233</f>
        <v>0</v>
      </c>
      <c r="BJ233" s="13">
        <f>I233*J233</f>
        <v>0</v>
      </c>
      <c r="BK233" s="13"/>
      <c r="BL233" s="13">
        <v>45</v>
      </c>
    </row>
    <row r="234" spans="1:47" ht="15" customHeight="1">
      <c r="A234" s="30" t="s">
        <v>862</v>
      </c>
      <c r="B234" s="18" t="s">
        <v>242</v>
      </c>
      <c r="C234" s="18" t="s">
        <v>783</v>
      </c>
      <c r="D234" s="73" t="s">
        <v>1140</v>
      </c>
      <c r="E234" s="73"/>
      <c r="F234" s="73"/>
      <c r="G234" s="73"/>
      <c r="H234" s="15" t="s">
        <v>1148</v>
      </c>
      <c r="I234" s="15" t="s">
        <v>1148</v>
      </c>
      <c r="J234" s="15" t="s">
        <v>1148</v>
      </c>
      <c r="K234" s="56">
        <f>SUM(K235:K237)</f>
        <v>0</v>
      </c>
      <c r="L234" s="56">
        <f>SUM(L235:L237)</f>
        <v>0</v>
      </c>
      <c r="M234" s="56">
        <f>SUM(M235:M237)</f>
        <v>0</v>
      </c>
      <c r="N234" s="21" t="s">
        <v>862</v>
      </c>
      <c r="O234" s="47" t="s">
        <v>862</v>
      </c>
      <c r="AI234" s="21" t="s">
        <v>242</v>
      </c>
      <c r="AS234" s="56">
        <f>SUM(AJ235:AJ237)</f>
        <v>0</v>
      </c>
      <c r="AT234" s="56">
        <f>SUM(AK235:AK237)</f>
        <v>0</v>
      </c>
      <c r="AU234" s="56">
        <f>SUM(AL235:AL237)</f>
        <v>0</v>
      </c>
    </row>
    <row r="235" spans="1:64" ht="15" customHeight="1">
      <c r="A235" s="11" t="s">
        <v>926</v>
      </c>
      <c r="B235" s="48" t="s">
        <v>242</v>
      </c>
      <c r="C235" s="48" t="s">
        <v>64</v>
      </c>
      <c r="D235" s="61" t="s">
        <v>1181</v>
      </c>
      <c r="E235" s="61"/>
      <c r="F235" s="61"/>
      <c r="G235" s="61"/>
      <c r="H235" s="48" t="s">
        <v>1216</v>
      </c>
      <c r="I235" s="13">
        <v>50</v>
      </c>
      <c r="J235" s="13">
        <v>0</v>
      </c>
      <c r="K235" s="13">
        <f>I235*AO235</f>
        <v>0</v>
      </c>
      <c r="L235" s="13">
        <f>I235*AP235</f>
        <v>0</v>
      </c>
      <c r="M235" s="13">
        <f>I235*J235</f>
        <v>0</v>
      </c>
      <c r="N235" s="13">
        <v>0.378</v>
      </c>
      <c r="O235" s="10" t="s">
        <v>851</v>
      </c>
      <c r="Z235" s="13">
        <f>IF(AQ235="5",BJ235,0)</f>
        <v>0</v>
      </c>
      <c r="AB235" s="13">
        <f>IF(AQ235="1",BH235,0)</f>
        <v>0</v>
      </c>
      <c r="AC235" s="13">
        <f>IF(AQ235="1",BI235,0)</f>
        <v>0</v>
      </c>
      <c r="AD235" s="13">
        <f>IF(AQ235="7",BH235,0)</f>
        <v>0</v>
      </c>
      <c r="AE235" s="13">
        <f>IF(AQ235="7",BI235,0)</f>
        <v>0</v>
      </c>
      <c r="AF235" s="13">
        <f>IF(AQ235="2",BH235,0)</f>
        <v>0</v>
      </c>
      <c r="AG235" s="13">
        <f>IF(AQ235="2",BI235,0)</f>
        <v>0</v>
      </c>
      <c r="AH235" s="13">
        <f>IF(AQ235="0",BJ235,0)</f>
        <v>0</v>
      </c>
      <c r="AI235" s="21" t="s">
        <v>242</v>
      </c>
      <c r="AJ235" s="13">
        <f>IF(AN235=0,M235,0)</f>
        <v>0</v>
      </c>
      <c r="AK235" s="13">
        <f>IF(AN235=15,M235,0)</f>
        <v>0</v>
      </c>
      <c r="AL235" s="13">
        <f>IF(AN235=21,M235,0)</f>
        <v>0</v>
      </c>
      <c r="AN235" s="13">
        <v>21</v>
      </c>
      <c r="AO235" s="13">
        <f>J235*0.843538461538462</f>
        <v>0</v>
      </c>
      <c r="AP235" s="13">
        <f>J235*(1-0.843538461538462)</f>
        <v>0</v>
      </c>
      <c r="AQ235" s="32" t="s">
        <v>1231</v>
      </c>
      <c r="AV235" s="13">
        <f>AW235+AX235</f>
        <v>0</v>
      </c>
      <c r="AW235" s="13">
        <f>I235*AO235</f>
        <v>0</v>
      </c>
      <c r="AX235" s="13">
        <f>I235*AP235</f>
        <v>0</v>
      </c>
      <c r="AY235" s="32" t="s">
        <v>1283</v>
      </c>
      <c r="AZ235" s="32" t="s">
        <v>1003</v>
      </c>
      <c r="BA235" s="21" t="s">
        <v>902</v>
      </c>
      <c r="BC235" s="13">
        <f>AW235+AX235</f>
        <v>0</v>
      </c>
      <c r="BD235" s="13">
        <f>J235/(100-BE235)*100</f>
        <v>0</v>
      </c>
      <c r="BE235" s="13">
        <v>0</v>
      </c>
      <c r="BF235" s="13">
        <f>235</f>
        <v>235</v>
      </c>
      <c r="BH235" s="13">
        <f>I235*AO235</f>
        <v>0</v>
      </c>
      <c r="BI235" s="13">
        <f>I235*AP235</f>
        <v>0</v>
      </c>
      <c r="BJ235" s="13">
        <f>I235*J235</f>
        <v>0</v>
      </c>
      <c r="BK235" s="13"/>
      <c r="BL235" s="13">
        <v>56</v>
      </c>
    </row>
    <row r="236" spans="1:64" ht="15" customHeight="1">
      <c r="A236" s="11" t="s">
        <v>1367</v>
      </c>
      <c r="B236" s="48" t="s">
        <v>242</v>
      </c>
      <c r="C236" s="48" t="s">
        <v>598</v>
      </c>
      <c r="D236" s="61" t="s">
        <v>1181</v>
      </c>
      <c r="E236" s="61"/>
      <c r="F236" s="61"/>
      <c r="G236" s="61"/>
      <c r="H236" s="48" t="s">
        <v>1216</v>
      </c>
      <c r="I236" s="13">
        <v>50</v>
      </c>
      <c r="J236" s="13">
        <v>0</v>
      </c>
      <c r="K236" s="13">
        <f>I236*AO236</f>
        <v>0</v>
      </c>
      <c r="L236" s="13">
        <f>I236*AP236</f>
        <v>0</v>
      </c>
      <c r="M236" s="13">
        <f>I236*J236</f>
        <v>0</v>
      </c>
      <c r="N236" s="13">
        <v>0.378</v>
      </c>
      <c r="O236" s="10" t="s">
        <v>851</v>
      </c>
      <c r="Z236" s="13">
        <f>IF(AQ236="5",BJ236,0)</f>
        <v>0</v>
      </c>
      <c r="AB236" s="13">
        <f>IF(AQ236="1",BH236,0)</f>
        <v>0</v>
      </c>
      <c r="AC236" s="13">
        <f>IF(AQ236="1",BI236,0)</f>
        <v>0</v>
      </c>
      <c r="AD236" s="13">
        <f>IF(AQ236="7",BH236,0)</f>
        <v>0</v>
      </c>
      <c r="AE236" s="13">
        <f>IF(AQ236="7",BI236,0)</f>
        <v>0</v>
      </c>
      <c r="AF236" s="13">
        <f>IF(AQ236="2",BH236,0)</f>
        <v>0</v>
      </c>
      <c r="AG236" s="13">
        <f>IF(AQ236="2",BI236,0)</f>
        <v>0</v>
      </c>
      <c r="AH236" s="13">
        <f>IF(AQ236="0",BJ236,0)</f>
        <v>0</v>
      </c>
      <c r="AI236" s="21" t="s">
        <v>242</v>
      </c>
      <c r="AJ236" s="13">
        <f>IF(AN236=0,M236,0)</f>
        <v>0</v>
      </c>
      <c r="AK236" s="13">
        <f>IF(AN236=15,M236,0)</f>
        <v>0</v>
      </c>
      <c r="AL236" s="13">
        <f>IF(AN236=21,M236,0)</f>
        <v>0</v>
      </c>
      <c r="AN236" s="13">
        <v>21</v>
      </c>
      <c r="AO236" s="13">
        <f>J236*0.832821917808219</f>
        <v>0</v>
      </c>
      <c r="AP236" s="13">
        <f>J236*(1-0.832821917808219)</f>
        <v>0</v>
      </c>
      <c r="AQ236" s="32" t="s">
        <v>1231</v>
      </c>
      <c r="AV236" s="13">
        <f>AW236+AX236</f>
        <v>0</v>
      </c>
      <c r="AW236" s="13">
        <f>I236*AO236</f>
        <v>0</v>
      </c>
      <c r="AX236" s="13">
        <f>I236*AP236</f>
        <v>0</v>
      </c>
      <c r="AY236" s="32" t="s">
        <v>1283</v>
      </c>
      <c r="AZ236" s="32" t="s">
        <v>1003</v>
      </c>
      <c r="BA236" s="21" t="s">
        <v>902</v>
      </c>
      <c r="BC236" s="13">
        <f>AW236+AX236</f>
        <v>0</v>
      </c>
      <c r="BD236" s="13">
        <f>J236/(100-BE236)*100</f>
        <v>0</v>
      </c>
      <c r="BE236" s="13">
        <v>0</v>
      </c>
      <c r="BF236" s="13">
        <f>236</f>
        <v>236</v>
      </c>
      <c r="BH236" s="13">
        <f>I236*AO236</f>
        <v>0</v>
      </c>
      <c r="BI236" s="13">
        <f>I236*AP236</f>
        <v>0</v>
      </c>
      <c r="BJ236" s="13">
        <f>I236*J236</f>
        <v>0</v>
      </c>
      <c r="BK236" s="13"/>
      <c r="BL236" s="13">
        <v>56</v>
      </c>
    </row>
    <row r="237" spans="1:64" ht="15" customHeight="1">
      <c r="A237" s="11" t="s">
        <v>344</v>
      </c>
      <c r="B237" s="48" t="s">
        <v>242</v>
      </c>
      <c r="C237" s="48" t="s">
        <v>895</v>
      </c>
      <c r="D237" s="61" t="s">
        <v>485</v>
      </c>
      <c r="E237" s="61"/>
      <c r="F237" s="61"/>
      <c r="G237" s="61"/>
      <c r="H237" s="48" t="s">
        <v>1216</v>
      </c>
      <c r="I237" s="13">
        <v>50</v>
      </c>
      <c r="J237" s="13">
        <v>0</v>
      </c>
      <c r="K237" s="13">
        <f>I237*AO237</f>
        <v>0</v>
      </c>
      <c r="L237" s="13">
        <f>I237*AP237</f>
        <v>0</v>
      </c>
      <c r="M237" s="13">
        <f>I237*J237</f>
        <v>0</v>
      </c>
      <c r="N237" s="13">
        <v>0.23737</v>
      </c>
      <c r="O237" s="10" t="s">
        <v>851</v>
      </c>
      <c r="Z237" s="13">
        <f>IF(AQ237="5",BJ237,0)</f>
        <v>0</v>
      </c>
      <c r="AB237" s="13">
        <f>IF(AQ237="1",BH237,0)</f>
        <v>0</v>
      </c>
      <c r="AC237" s="13">
        <f>IF(AQ237="1",BI237,0)</f>
        <v>0</v>
      </c>
      <c r="AD237" s="13">
        <f>IF(AQ237="7",BH237,0)</f>
        <v>0</v>
      </c>
      <c r="AE237" s="13">
        <f>IF(AQ237="7",BI237,0)</f>
        <v>0</v>
      </c>
      <c r="AF237" s="13">
        <f>IF(AQ237="2",BH237,0)</f>
        <v>0</v>
      </c>
      <c r="AG237" s="13">
        <f>IF(AQ237="2",BI237,0)</f>
        <v>0</v>
      </c>
      <c r="AH237" s="13">
        <f>IF(AQ237="0",BJ237,0)</f>
        <v>0</v>
      </c>
      <c r="AI237" s="21" t="s">
        <v>242</v>
      </c>
      <c r="AJ237" s="13">
        <f>IF(AN237=0,M237,0)</f>
        <v>0</v>
      </c>
      <c r="AK237" s="13">
        <f>IF(AN237=15,M237,0)</f>
        <v>0</v>
      </c>
      <c r="AL237" s="13">
        <f>IF(AN237=21,M237,0)</f>
        <v>0</v>
      </c>
      <c r="AN237" s="13">
        <v>21</v>
      </c>
      <c r="AO237" s="13">
        <f>J237*0.878931315521925</f>
        <v>0</v>
      </c>
      <c r="AP237" s="13">
        <f>J237*(1-0.878931315521925)</f>
        <v>0</v>
      </c>
      <c r="AQ237" s="32" t="s">
        <v>1231</v>
      </c>
      <c r="AV237" s="13">
        <f>AW237+AX237</f>
        <v>0</v>
      </c>
      <c r="AW237" s="13">
        <f>I237*AO237</f>
        <v>0</v>
      </c>
      <c r="AX237" s="13">
        <f>I237*AP237</f>
        <v>0</v>
      </c>
      <c r="AY237" s="32" t="s">
        <v>1283</v>
      </c>
      <c r="AZ237" s="32" t="s">
        <v>1003</v>
      </c>
      <c r="BA237" s="21" t="s">
        <v>902</v>
      </c>
      <c r="BC237" s="13">
        <f>AW237+AX237</f>
        <v>0</v>
      </c>
      <c r="BD237" s="13">
        <f>J237/(100-BE237)*100</f>
        <v>0</v>
      </c>
      <c r="BE237" s="13">
        <v>0</v>
      </c>
      <c r="BF237" s="13">
        <f>237</f>
        <v>237</v>
      </c>
      <c r="BH237" s="13">
        <f>I237*AO237</f>
        <v>0</v>
      </c>
      <c r="BI237" s="13">
        <f>I237*AP237</f>
        <v>0</v>
      </c>
      <c r="BJ237" s="13">
        <f>I237*J237</f>
        <v>0</v>
      </c>
      <c r="BK237" s="13"/>
      <c r="BL237" s="13">
        <v>56</v>
      </c>
    </row>
    <row r="238" spans="1:47" ht="15" customHeight="1">
      <c r="A238" s="30" t="s">
        <v>862</v>
      </c>
      <c r="B238" s="18" t="s">
        <v>242</v>
      </c>
      <c r="C238" s="18" t="s">
        <v>1178</v>
      </c>
      <c r="D238" s="73" t="s">
        <v>829</v>
      </c>
      <c r="E238" s="73"/>
      <c r="F238" s="73"/>
      <c r="G238" s="73"/>
      <c r="H238" s="15" t="s">
        <v>1148</v>
      </c>
      <c r="I238" s="15" t="s">
        <v>1148</v>
      </c>
      <c r="J238" s="15" t="s">
        <v>1148</v>
      </c>
      <c r="K238" s="56">
        <f>SUM(K239:K242)</f>
        <v>0</v>
      </c>
      <c r="L238" s="56">
        <f>SUM(L239:L242)</f>
        <v>0</v>
      </c>
      <c r="M238" s="56">
        <f>SUM(M239:M242)</f>
        <v>0</v>
      </c>
      <c r="N238" s="21" t="s">
        <v>862</v>
      </c>
      <c r="O238" s="47" t="s">
        <v>862</v>
      </c>
      <c r="AI238" s="21" t="s">
        <v>242</v>
      </c>
      <c r="AS238" s="56">
        <f>SUM(AJ239:AJ242)</f>
        <v>0</v>
      </c>
      <c r="AT238" s="56">
        <f>SUM(AK239:AK242)</f>
        <v>0</v>
      </c>
      <c r="AU238" s="56">
        <f>SUM(AL239:AL242)</f>
        <v>0</v>
      </c>
    </row>
    <row r="239" spans="1:64" ht="15" customHeight="1">
      <c r="A239" s="11" t="s">
        <v>83</v>
      </c>
      <c r="B239" s="48" t="s">
        <v>242</v>
      </c>
      <c r="C239" s="48" t="s">
        <v>777</v>
      </c>
      <c r="D239" s="61" t="s">
        <v>361</v>
      </c>
      <c r="E239" s="61"/>
      <c r="F239" s="61"/>
      <c r="G239" s="61"/>
      <c r="H239" s="48" t="s">
        <v>1216</v>
      </c>
      <c r="I239" s="13">
        <v>69</v>
      </c>
      <c r="J239" s="13">
        <v>0</v>
      </c>
      <c r="K239" s="13">
        <f>I239*AO239</f>
        <v>0</v>
      </c>
      <c r="L239" s="13">
        <f>I239*AP239</f>
        <v>0</v>
      </c>
      <c r="M239" s="13">
        <f>I239*J239</f>
        <v>0</v>
      </c>
      <c r="N239" s="13">
        <v>0.18152</v>
      </c>
      <c r="O239" s="10" t="s">
        <v>851</v>
      </c>
      <c r="Z239" s="13">
        <f>IF(AQ239="5",BJ239,0)</f>
        <v>0</v>
      </c>
      <c r="AB239" s="13">
        <f>IF(AQ239="1",BH239,0)</f>
        <v>0</v>
      </c>
      <c r="AC239" s="13">
        <f>IF(AQ239="1",BI239,0)</f>
        <v>0</v>
      </c>
      <c r="AD239" s="13">
        <f>IF(AQ239="7",BH239,0)</f>
        <v>0</v>
      </c>
      <c r="AE239" s="13">
        <f>IF(AQ239="7",BI239,0)</f>
        <v>0</v>
      </c>
      <c r="AF239" s="13">
        <f>IF(AQ239="2",BH239,0)</f>
        <v>0</v>
      </c>
      <c r="AG239" s="13">
        <f>IF(AQ239="2",BI239,0)</f>
        <v>0</v>
      </c>
      <c r="AH239" s="13">
        <f>IF(AQ239="0",BJ239,0)</f>
        <v>0</v>
      </c>
      <c r="AI239" s="21" t="s">
        <v>242</v>
      </c>
      <c r="AJ239" s="13">
        <f>IF(AN239=0,M239,0)</f>
        <v>0</v>
      </c>
      <c r="AK239" s="13">
        <f>IF(AN239=15,M239,0)</f>
        <v>0</v>
      </c>
      <c r="AL239" s="13">
        <f>IF(AN239=21,M239,0)</f>
        <v>0</v>
      </c>
      <c r="AN239" s="13">
        <v>21</v>
      </c>
      <c r="AO239" s="13">
        <f>J239*0.90011013215859</f>
        <v>0</v>
      </c>
      <c r="AP239" s="13">
        <f>J239*(1-0.90011013215859)</f>
        <v>0</v>
      </c>
      <c r="AQ239" s="32" t="s">
        <v>1231</v>
      </c>
      <c r="AV239" s="13">
        <f>AW239+AX239</f>
        <v>0</v>
      </c>
      <c r="AW239" s="13">
        <f>I239*AO239</f>
        <v>0</v>
      </c>
      <c r="AX239" s="13">
        <f>I239*AP239</f>
        <v>0</v>
      </c>
      <c r="AY239" s="32" t="s">
        <v>481</v>
      </c>
      <c r="AZ239" s="32" t="s">
        <v>1003</v>
      </c>
      <c r="BA239" s="21" t="s">
        <v>902</v>
      </c>
      <c r="BC239" s="13">
        <f>AW239+AX239</f>
        <v>0</v>
      </c>
      <c r="BD239" s="13">
        <f>J239/(100-BE239)*100</f>
        <v>0</v>
      </c>
      <c r="BE239" s="13">
        <v>0</v>
      </c>
      <c r="BF239" s="13">
        <f>239</f>
        <v>239</v>
      </c>
      <c r="BH239" s="13">
        <f>I239*AO239</f>
        <v>0</v>
      </c>
      <c r="BI239" s="13">
        <f>I239*AP239</f>
        <v>0</v>
      </c>
      <c r="BJ239" s="13">
        <f>I239*J239</f>
        <v>0</v>
      </c>
      <c r="BK239" s="13"/>
      <c r="BL239" s="13">
        <v>57</v>
      </c>
    </row>
    <row r="240" spans="1:64" ht="15" customHeight="1">
      <c r="A240" s="11" t="s">
        <v>185</v>
      </c>
      <c r="B240" s="48" t="s">
        <v>242</v>
      </c>
      <c r="C240" s="48" t="s">
        <v>670</v>
      </c>
      <c r="D240" s="61" t="s">
        <v>451</v>
      </c>
      <c r="E240" s="61"/>
      <c r="F240" s="61"/>
      <c r="G240" s="61"/>
      <c r="H240" s="48" t="s">
        <v>1216</v>
      </c>
      <c r="I240" s="13">
        <v>276</v>
      </c>
      <c r="J240" s="13">
        <v>0</v>
      </c>
      <c r="K240" s="13">
        <f>I240*AO240</f>
        <v>0</v>
      </c>
      <c r="L240" s="13">
        <f>I240*AP240</f>
        <v>0</v>
      </c>
      <c r="M240" s="13">
        <f>I240*J240</f>
        <v>0</v>
      </c>
      <c r="N240" s="13">
        <v>0.0003</v>
      </c>
      <c r="O240" s="10" t="s">
        <v>851</v>
      </c>
      <c r="Z240" s="13">
        <f>IF(AQ240="5",BJ240,0)</f>
        <v>0</v>
      </c>
      <c r="AB240" s="13">
        <f>IF(AQ240="1",BH240,0)</f>
        <v>0</v>
      </c>
      <c r="AC240" s="13">
        <f>IF(AQ240="1",BI240,0)</f>
        <v>0</v>
      </c>
      <c r="AD240" s="13">
        <f>IF(AQ240="7",BH240,0)</f>
        <v>0</v>
      </c>
      <c r="AE240" s="13">
        <f>IF(AQ240="7",BI240,0)</f>
        <v>0</v>
      </c>
      <c r="AF240" s="13">
        <f>IF(AQ240="2",BH240,0)</f>
        <v>0</v>
      </c>
      <c r="AG240" s="13">
        <f>IF(AQ240="2",BI240,0)</f>
        <v>0</v>
      </c>
      <c r="AH240" s="13">
        <f>IF(AQ240="0",BJ240,0)</f>
        <v>0</v>
      </c>
      <c r="AI240" s="21" t="s">
        <v>242</v>
      </c>
      <c r="AJ240" s="13">
        <f>IF(AN240=0,M240,0)</f>
        <v>0</v>
      </c>
      <c r="AK240" s="13">
        <f>IF(AN240=15,M240,0)</f>
        <v>0</v>
      </c>
      <c r="AL240" s="13">
        <f>IF(AN240=21,M240,0)</f>
        <v>0</v>
      </c>
      <c r="AN240" s="13">
        <v>21</v>
      </c>
      <c r="AO240" s="13">
        <f>J240*0.854736842105263</f>
        <v>0</v>
      </c>
      <c r="AP240" s="13">
        <f>J240*(1-0.854736842105263)</f>
        <v>0</v>
      </c>
      <c r="AQ240" s="32" t="s">
        <v>1231</v>
      </c>
      <c r="AV240" s="13">
        <f>AW240+AX240</f>
        <v>0</v>
      </c>
      <c r="AW240" s="13">
        <f>I240*AO240</f>
        <v>0</v>
      </c>
      <c r="AX240" s="13">
        <f>I240*AP240</f>
        <v>0</v>
      </c>
      <c r="AY240" s="32" t="s">
        <v>481</v>
      </c>
      <c r="AZ240" s="32" t="s">
        <v>1003</v>
      </c>
      <c r="BA240" s="21" t="s">
        <v>902</v>
      </c>
      <c r="BC240" s="13">
        <f>AW240+AX240</f>
        <v>0</v>
      </c>
      <c r="BD240" s="13">
        <f>J240/(100-BE240)*100</f>
        <v>0</v>
      </c>
      <c r="BE240" s="13">
        <v>0</v>
      </c>
      <c r="BF240" s="13">
        <f>240</f>
        <v>240</v>
      </c>
      <c r="BH240" s="13">
        <f>I240*AO240</f>
        <v>0</v>
      </c>
      <c r="BI240" s="13">
        <f>I240*AP240</f>
        <v>0</v>
      </c>
      <c r="BJ240" s="13">
        <f>I240*J240</f>
        <v>0</v>
      </c>
      <c r="BK240" s="13"/>
      <c r="BL240" s="13">
        <v>57</v>
      </c>
    </row>
    <row r="241" spans="1:64" ht="15" customHeight="1">
      <c r="A241" s="11" t="s">
        <v>1133</v>
      </c>
      <c r="B241" s="48" t="s">
        <v>242</v>
      </c>
      <c r="C241" s="48" t="s">
        <v>1029</v>
      </c>
      <c r="D241" s="61" t="s">
        <v>1228</v>
      </c>
      <c r="E241" s="61"/>
      <c r="F241" s="61"/>
      <c r="G241" s="61"/>
      <c r="H241" s="48" t="s">
        <v>1216</v>
      </c>
      <c r="I241" s="13">
        <v>50</v>
      </c>
      <c r="J241" s="13">
        <v>0</v>
      </c>
      <c r="K241" s="13">
        <f>I241*AO241</f>
        <v>0</v>
      </c>
      <c r="L241" s="13">
        <f>I241*AP241</f>
        <v>0</v>
      </c>
      <c r="M241" s="13">
        <f>I241*J241</f>
        <v>0</v>
      </c>
      <c r="N241" s="13">
        <v>0.00753</v>
      </c>
      <c r="O241" s="10" t="s">
        <v>851</v>
      </c>
      <c r="Z241" s="13">
        <f>IF(AQ241="5",BJ241,0)</f>
        <v>0</v>
      </c>
      <c r="AB241" s="13">
        <f>IF(AQ241="1",BH241,0)</f>
        <v>0</v>
      </c>
      <c r="AC241" s="13">
        <f>IF(AQ241="1",BI241,0)</f>
        <v>0</v>
      </c>
      <c r="AD241" s="13">
        <f>IF(AQ241="7",BH241,0)</f>
        <v>0</v>
      </c>
      <c r="AE241" s="13">
        <f>IF(AQ241="7",BI241,0)</f>
        <v>0</v>
      </c>
      <c r="AF241" s="13">
        <f>IF(AQ241="2",BH241,0)</f>
        <v>0</v>
      </c>
      <c r="AG241" s="13">
        <f>IF(AQ241="2",BI241,0)</f>
        <v>0</v>
      </c>
      <c r="AH241" s="13">
        <f>IF(AQ241="0",BJ241,0)</f>
        <v>0</v>
      </c>
      <c r="AI241" s="21" t="s">
        <v>242</v>
      </c>
      <c r="AJ241" s="13">
        <f>IF(AN241=0,M241,0)</f>
        <v>0</v>
      </c>
      <c r="AK241" s="13">
        <f>IF(AN241=15,M241,0)</f>
        <v>0</v>
      </c>
      <c r="AL241" s="13">
        <f>IF(AN241=21,M241,0)</f>
        <v>0</v>
      </c>
      <c r="AN241" s="13">
        <v>21</v>
      </c>
      <c r="AO241" s="13">
        <f>J241*0.964530180460485</f>
        <v>0</v>
      </c>
      <c r="AP241" s="13">
        <f>J241*(1-0.964530180460485)</f>
        <v>0</v>
      </c>
      <c r="AQ241" s="32" t="s">
        <v>1231</v>
      </c>
      <c r="AV241" s="13">
        <f>AW241+AX241</f>
        <v>0</v>
      </c>
      <c r="AW241" s="13">
        <f>I241*AO241</f>
        <v>0</v>
      </c>
      <c r="AX241" s="13">
        <f>I241*AP241</f>
        <v>0</v>
      </c>
      <c r="AY241" s="32" t="s">
        <v>481</v>
      </c>
      <c r="AZ241" s="32" t="s">
        <v>1003</v>
      </c>
      <c r="BA241" s="21" t="s">
        <v>902</v>
      </c>
      <c r="BC241" s="13">
        <f>AW241+AX241</f>
        <v>0</v>
      </c>
      <c r="BD241" s="13">
        <f>J241/(100-BE241)*100</f>
        <v>0</v>
      </c>
      <c r="BE241" s="13">
        <v>0</v>
      </c>
      <c r="BF241" s="13">
        <f>241</f>
        <v>241</v>
      </c>
      <c r="BH241" s="13">
        <f>I241*AO241</f>
        <v>0</v>
      </c>
      <c r="BI241" s="13">
        <f>I241*AP241</f>
        <v>0</v>
      </c>
      <c r="BJ241" s="13">
        <f>I241*J241</f>
        <v>0</v>
      </c>
      <c r="BK241" s="13"/>
      <c r="BL241" s="13">
        <v>57</v>
      </c>
    </row>
    <row r="242" spans="1:64" ht="15" customHeight="1">
      <c r="A242" s="11" t="s">
        <v>756</v>
      </c>
      <c r="B242" s="48" t="s">
        <v>242</v>
      </c>
      <c r="C242" s="48" t="s">
        <v>394</v>
      </c>
      <c r="D242" s="61" t="s">
        <v>1088</v>
      </c>
      <c r="E242" s="61"/>
      <c r="F242" s="61"/>
      <c r="G242" s="61"/>
      <c r="H242" s="48" t="s">
        <v>1216</v>
      </c>
      <c r="I242" s="13">
        <v>69</v>
      </c>
      <c r="J242" s="13">
        <v>0</v>
      </c>
      <c r="K242" s="13">
        <f>I242*AO242</f>
        <v>0</v>
      </c>
      <c r="L242" s="13">
        <f>I242*AP242</f>
        <v>0</v>
      </c>
      <c r="M242" s="13">
        <f>I242*J242</f>
        <v>0</v>
      </c>
      <c r="N242" s="13">
        <v>0.10373</v>
      </c>
      <c r="O242" s="10" t="s">
        <v>851</v>
      </c>
      <c r="Z242" s="13">
        <f>IF(AQ242="5",BJ242,0)</f>
        <v>0</v>
      </c>
      <c r="AB242" s="13">
        <f>IF(AQ242="1",BH242,0)</f>
        <v>0</v>
      </c>
      <c r="AC242" s="13">
        <f>IF(AQ242="1",BI242,0)</f>
        <v>0</v>
      </c>
      <c r="AD242" s="13">
        <f>IF(AQ242="7",BH242,0)</f>
        <v>0</v>
      </c>
      <c r="AE242" s="13">
        <f>IF(AQ242="7",BI242,0)</f>
        <v>0</v>
      </c>
      <c r="AF242" s="13">
        <f>IF(AQ242="2",BH242,0)</f>
        <v>0</v>
      </c>
      <c r="AG242" s="13">
        <f>IF(AQ242="2",BI242,0)</f>
        <v>0</v>
      </c>
      <c r="AH242" s="13">
        <f>IF(AQ242="0",BJ242,0)</f>
        <v>0</v>
      </c>
      <c r="AI242" s="21" t="s">
        <v>242</v>
      </c>
      <c r="AJ242" s="13">
        <f>IF(AN242=0,M242,0)</f>
        <v>0</v>
      </c>
      <c r="AK242" s="13">
        <f>IF(AN242=15,M242,0)</f>
        <v>0</v>
      </c>
      <c r="AL242" s="13">
        <f>IF(AN242=21,M242,0)</f>
        <v>0</v>
      </c>
      <c r="AN242" s="13">
        <v>21</v>
      </c>
      <c r="AO242" s="13">
        <f>J242*0.904897196261682</f>
        <v>0</v>
      </c>
      <c r="AP242" s="13">
        <f>J242*(1-0.904897196261682)</f>
        <v>0</v>
      </c>
      <c r="AQ242" s="32" t="s">
        <v>1231</v>
      </c>
      <c r="AV242" s="13">
        <f>AW242+AX242</f>
        <v>0</v>
      </c>
      <c r="AW242" s="13">
        <f>I242*AO242</f>
        <v>0</v>
      </c>
      <c r="AX242" s="13">
        <f>I242*AP242</f>
        <v>0</v>
      </c>
      <c r="AY242" s="32" t="s">
        <v>481</v>
      </c>
      <c r="AZ242" s="32" t="s">
        <v>1003</v>
      </c>
      <c r="BA242" s="21" t="s">
        <v>902</v>
      </c>
      <c r="BC242" s="13">
        <f>AW242+AX242</f>
        <v>0</v>
      </c>
      <c r="BD242" s="13">
        <f>J242/(100-BE242)*100</f>
        <v>0</v>
      </c>
      <c r="BE242" s="13">
        <v>0</v>
      </c>
      <c r="BF242" s="13">
        <f>242</f>
        <v>242</v>
      </c>
      <c r="BH242" s="13">
        <f>I242*AO242</f>
        <v>0</v>
      </c>
      <c r="BI242" s="13">
        <f>I242*AP242</f>
        <v>0</v>
      </c>
      <c r="BJ242" s="13">
        <f>I242*J242</f>
        <v>0</v>
      </c>
      <c r="BK242" s="13"/>
      <c r="BL242" s="13">
        <v>57</v>
      </c>
    </row>
    <row r="243" spans="1:47" ht="15" customHeight="1">
      <c r="A243" s="30" t="s">
        <v>862</v>
      </c>
      <c r="B243" s="18" t="s">
        <v>242</v>
      </c>
      <c r="C243" s="18" t="s">
        <v>57</v>
      </c>
      <c r="D243" s="73" t="s">
        <v>93</v>
      </c>
      <c r="E243" s="73"/>
      <c r="F243" s="73"/>
      <c r="G243" s="73"/>
      <c r="H243" s="15" t="s">
        <v>1148</v>
      </c>
      <c r="I243" s="15" t="s">
        <v>1148</v>
      </c>
      <c r="J243" s="15" t="s">
        <v>1148</v>
      </c>
      <c r="K243" s="56">
        <f>SUM(K244:K263)</f>
        <v>0</v>
      </c>
      <c r="L243" s="56">
        <f>SUM(L244:L263)</f>
        <v>0</v>
      </c>
      <c r="M243" s="56">
        <f>SUM(M244:M263)</f>
        <v>0</v>
      </c>
      <c r="N243" s="21" t="s">
        <v>862</v>
      </c>
      <c r="O243" s="47" t="s">
        <v>862</v>
      </c>
      <c r="AI243" s="21" t="s">
        <v>242</v>
      </c>
      <c r="AS243" s="56">
        <f>SUM(AJ244:AJ263)</f>
        <v>0</v>
      </c>
      <c r="AT243" s="56">
        <f>SUM(AK244:AK263)</f>
        <v>0</v>
      </c>
      <c r="AU243" s="56">
        <f>SUM(AL244:AL263)</f>
        <v>0</v>
      </c>
    </row>
    <row r="244" spans="1:64" ht="15" customHeight="1">
      <c r="A244" s="11" t="s">
        <v>342</v>
      </c>
      <c r="B244" s="48" t="s">
        <v>242</v>
      </c>
      <c r="C244" s="48" t="s">
        <v>1380</v>
      </c>
      <c r="D244" s="61" t="s">
        <v>825</v>
      </c>
      <c r="E244" s="61"/>
      <c r="F244" s="61"/>
      <c r="G244" s="61"/>
      <c r="H244" s="48" t="s">
        <v>1018</v>
      </c>
      <c r="I244" s="13">
        <v>193.5</v>
      </c>
      <c r="J244" s="13">
        <v>0</v>
      </c>
      <c r="K244" s="13">
        <f aca="true" t="shared" si="138" ref="K244:K263">I244*AO244</f>
        <v>0</v>
      </c>
      <c r="L244" s="13">
        <f aca="true" t="shared" si="139" ref="L244:L263">I244*AP244</f>
        <v>0</v>
      </c>
      <c r="M244" s="13">
        <f aca="true" t="shared" si="140" ref="M244:M263">I244*J244</f>
        <v>0</v>
      </c>
      <c r="N244" s="13">
        <v>1E-05</v>
      </c>
      <c r="O244" s="10" t="s">
        <v>851</v>
      </c>
      <c r="Z244" s="13">
        <f aca="true" t="shared" si="141" ref="Z244:Z263">IF(AQ244="5",BJ244,0)</f>
        <v>0</v>
      </c>
      <c r="AB244" s="13">
        <f aca="true" t="shared" si="142" ref="AB244:AB263">IF(AQ244="1",BH244,0)</f>
        <v>0</v>
      </c>
      <c r="AC244" s="13">
        <f aca="true" t="shared" si="143" ref="AC244:AC263">IF(AQ244="1",BI244,0)</f>
        <v>0</v>
      </c>
      <c r="AD244" s="13">
        <f aca="true" t="shared" si="144" ref="AD244:AD263">IF(AQ244="7",BH244,0)</f>
        <v>0</v>
      </c>
      <c r="AE244" s="13">
        <f aca="true" t="shared" si="145" ref="AE244:AE263">IF(AQ244="7",BI244,0)</f>
        <v>0</v>
      </c>
      <c r="AF244" s="13">
        <f aca="true" t="shared" si="146" ref="AF244:AF263">IF(AQ244="2",BH244,0)</f>
        <v>0</v>
      </c>
      <c r="AG244" s="13">
        <f aca="true" t="shared" si="147" ref="AG244:AG263">IF(AQ244="2",BI244,0)</f>
        <v>0</v>
      </c>
      <c r="AH244" s="13">
        <f aca="true" t="shared" si="148" ref="AH244:AH263">IF(AQ244="0",BJ244,0)</f>
        <v>0</v>
      </c>
      <c r="AI244" s="21" t="s">
        <v>242</v>
      </c>
      <c r="AJ244" s="13">
        <f aca="true" t="shared" si="149" ref="AJ244:AJ263">IF(AN244=0,M244,0)</f>
        <v>0</v>
      </c>
      <c r="AK244" s="13">
        <f aca="true" t="shared" si="150" ref="AK244:AK263">IF(AN244=15,M244,0)</f>
        <v>0</v>
      </c>
      <c r="AL244" s="13">
        <f aca="true" t="shared" si="151" ref="AL244:AL263">IF(AN244=21,M244,0)</f>
        <v>0</v>
      </c>
      <c r="AN244" s="13">
        <v>21</v>
      </c>
      <c r="AO244" s="13">
        <f>J244*0.00523255813953488</f>
        <v>0</v>
      </c>
      <c r="AP244" s="13">
        <f>J244*(1-0.00523255813953488)</f>
        <v>0</v>
      </c>
      <c r="AQ244" s="32" t="s">
        <v>1231</v>
      </c>
      <c r="AV244" s="13">
        <f aca="true" t="shared" si="152" ref="AV244:AV263">AW244+AX244</f>
        <v>0</v>
      </c>
      <c r="AW244" s="13">
        <f aca="true" t="shared" si="153" ref="AW244:AW263">I244*AO244</f>
        <v>0</v>
      </c>
      <c r="AX244" s="13">
        <f aca="true" t="shared" si="154" ref="AX244:AX263">I244*AP244</f>
        <v>0</v>
      </c>
      <c r="AY244" s="32" t="s">
        <v>81</v>
      </c>
      <c r="AZ244" s="32" t="s">
        <v>865</v>
      </c>
      <c r="BA244" s="21" t="s">
        <v>902</v>
      </c>
      <c r="BC244" s="13">
        <f aca="true" t="shared" si="155" ref="BC244:BC263">AW244+AX244</f>
        <v>0</v>
      </c>
      <c r="BD244" s="13">
        <f aca="true" t="shared" si="156" ref="BD244:BD263">J244/(100-BE244)*100</f>
        <v>0</v>
      </c>
      <c r="BE244" s="13">
        <v>0</v>
      </c>
      <c r="BF244" s="13">
        <f>244</f>
        <v>244</v>
      </c>
      <c r="BH244" s="13">
        <f aca="true" t="shared" si="157" ref="BH244:BH263">I244*AO244</f>
        <v>0</v>
      </c>
      <c r="BI244" s="13">
        <f aca="true" t="shared" si="158" ref="BI244:BI263">I244*AP244</f>
        <v>0</v>
      </c>
      <c r="BJ244" s="13">
        <f aca="true" t="shared" si="159" ref="BJ244:BJ263">I244*J244</f>
        <v>0</v>
      </c>
      <c r="BK244" s="13"/>
      <c r="BL244" s="13">
        <v>87</v>
      </c>
    </row>
    <row r="245" spans="1:64" ht="15" customHeight="1">
      <c r="A245" s="11" t="s">
        <v>1007</v>
      </c>
      <c r="B245" s="48" t="s">
        <v>242</v>
      </c>
      <c r="C245" s="48" t="s">
        <v>893</v>
      </c>
      <c r="D245" s="61" t="s">
        <v>946</v>
      </c>
      <c r="E245" s="61"/>
      <c r="F245" s="61"/>
      <c r="G245" s="61"/>
      <c r="H245" s="48" t="s">
        <v>299</v>
      </c>
      <c r="I245" s="13">
        <v>32</v>
      </c>
      <c r="J245" s="13">
        <v>0</v>
      </c>
      <c r="K245" s="13">
        <f t="shared" si="138"/>
        <v>0</v>
      </c>
      <c r="L245" s="13">
        <f t="shared" si="139"/>
        <v>0</v>
      </c>
      <c r="M245" s="13">
        <f t="shared" si="140"/>
        <v>0</v>
      </c>
      <c r="N245" s="13">
        <v>0.1095</v>
      </c>
      <c r="O245" s="10" t="s">
        <v>851</v>
      </c>
      <c r="Z245" s="13">
        <f t="shared" si="141"/>
        <v>0</v>
      </c>
      <c r="AB245" s="13">
        <f t="shared" si="142"/>
        <v>0</v>
      </c>
      <c r="AC245" s="13">
        <f t="shared" si="143"/>
        <v>0</v>
      </c>
      <c r="AD245" s="13">
        <f t="shared" si="144"/>
        <v>0</v>
      </c>
      <c r="AE245" s="13">
        <f t="shared" si="145"/>
        <v>0</v>
      </c>
      <c r="AF245" s="13">
        <f t="shared" si="146"/>
        <v>0</v>
      </c>
      <c r="AG245" s="13">
        <f t="shared" si="147"/>
        <v>0</v>
      </c>
      <c r="AH245" s="13">
        <f t="shared" si="148"/>
        <v>0</v>
      </c>
      <c r="AI245" s="21" t="s">
        <v>242</v>
      </c>
      <c r="AJ245" s="13">
        <f t="shared" si="149"/>
        <v>0</v>
      </c>
      <c r="AK245" s="13">
        <f t="shared" si="150"/>
        <v>0</v>
      </c>
      <c r="AL245" s="13">
        <f t="shared" si="151"/>
        <v>0</v>
      </c>
      <c r="AN245" s="13">
        <v>21</v>
      </c>
      <c r="AO245" s="13">
        <f>J245*1</f>
        <v>0</v>
      </c>
      <c r="AP245" s="13">
        <f>J245*(1-1)</f>
        <v>0</v>
      </c>
      <c r="AQ245" s="32" t="s">
        <v>1231</v>
      </c>
      <c r="AV245" s="13">
        <f t="shared" si="152"/>
        <v>0</v>
      </c>
      <c r="AW245" s="13">
        <f t="shared" si="153"/>
        <v>0</v>
      </c>
      <c r="AX245" s="13">
        <f t="shared" si="154"/>
        <v>0</v>
      </c>
      <c r="AY245" s="32" t="s">
        <v>81</v>
      </c>
      <c r="AZ245" s="32" t="s">
        <v>865</v>
      </c>
      <c r="BA245" s="21" t="s">
        <v>902</v>
      </c>
      <c r="BC245" s="13">
        <f t="shared" si="155"/>
        <v>0</v>
      </c>
      <c r="BD245" s="13">
        <f t="shared" si="156"/>
        <v>0</v>
      </c>
      <c r="BE245" s="13">
        <v>0</v>
      </c>
      <c r="BF245" s="13">
        <f>245</f>
        <v>245</v>
      </c>
      <c r="BH245" s="13">
        <f t="shared" si="157"/>
        <v>0</v>
      </c>
      <c r="BI245" s="13">
        <f t="shared" si="158"/>
        <v>0</v>
      </c>
      <c r="BJ245" s="13">
        <f t="shared" si="159"/>
        <v>0</v>
      </c>
      <c r="BK245" s="13"/>
      <c r="BL245" s="13">
        <v>87</v>
      </c>
    </row>
    <row r="246" spans="1:64" ht="15" customHeight="1">
      <c r="A246" s="11" t="s">
        <v>1278</v>
      </c>
      <c r="B246" s="48" t="s">
        <v>242</v>
      </c>
      <c r="C246" s="48" t="s">
        <v>1323</v>
      </c>
      <c r="D246" s="61" t="s">
        <v>705</v>
      </c>
      <c r="E246" s="61"/>
      <c r="F246" s="61"/>
      <c r="G246" s="61"/>
      <c r="H246" s="48" t="s">
        <v>299</v>
      </c>
      <c r="I246" s="13">
        <v>1</v>
      </c>
      <c r="J246" s="13">
        <v>0</v>
      </c>
      <c r="K246" s="13">
        <f t="shared" si="138"/>
        <v>0</v>
      </c>
      <c r="L246" s="13">
        <f t="shared" si="139"/>
        <v>0</v>
      </c>
      <c r="M246" s="13">
        <f t="shared" si="140"/>
        <v>0</v>
      </c>
      <c r="N246" s="13">
        <v>0.0596</v>
      </c>
      <c r="O246" s="10" t="s">
        <v>851</v>
      </c>
      <c r="Z246" s="13">
        <f t="shared" si="141"/>
        <v>0</v>
      </c>
      <c r="AB246" s="13">
        <f t="shared" si="142"/>
        <v>0</v>
      </c>
      <c r="AC246" s="13">
        <f t="shared" si="143"/>
        <v>0</v>
      </c>
      <c r="AD246" s="13">
        <f t="shared" si="144"/>
        <v>0</v>
      </c>
      <c r="AE246" s="13">
        <f t="shared" si="145"/>
        <v>0</v>
      </c>
      <c r="AF246" s="13">
        <f t="shared" si="146"/>
        <v>0</v>
      </c>
      <c r="AG246" s="13">
        <f t="shared" si="147"/>
        <v>0</v>
      </c>
      <c r="AH246" s="13">
        <f t="shared" si="148"/>
        <v>0</v>
      </c>
      <c r="AI246" s="21" t="s">
        <v>242</v>
      </c>
      <c r="AJ246" s="13">
        <f t="shared" si="149"/>
        <v>0</v>
      </c>
      <c r="AK246" s="13">
        <f t="shared" si="150"/>
        <v>0</v>
      </c>
      <c r="AL246" s="13">
        <f t="shared" si="151"/>
        <v>0</v>
      </c>
      <c r="AN246" s="13">
        <v>21</v>
      </c>
      <c r="AO246" s="13">
        <f>J246*1</f>
        <v>0</v>
      </c>
      <c r="AP246" s="13">
        <f>J246*(1-1)</f>
        <v>0</v>
      </c>
      <c r="AQ246" s="32" t="s">
        <v>1231</v>
      </c>
      <c r="AV246" s="13">
        <f t="shared" si="152"/>
        <v>0</v>
      </c>
      <c r="AW246" s="13">
        <f t="shared" si="153"/>
        <v>0</v>
      </c>
      <c r="AX246" s="13">
        <f t="shared" si="154"/>
        <v>0</v>
      </c>
      <c r="AY246" s="32" t="s">
        <v>81</v>
      </c>
      <c r="AZ246" s="32" t="s">
        <v>865</v>
      </c>
      <c r="BA246" s="21" t="s">
        <v>902</v>
      </c>
      <c r="BC246" s="13">
        <f t="shared" si="155"/>
        <v>0</v>
      </c>
      <c r="BD246" s="13">
        <f t="shared" si="156"/>
        <v>0</v>
      </c>
      <c r="BE246" s="13">
        <v>0</v>
      </c>
      <c r="BF246" s="13">
        <f>246</f>
        <v>246</v>
      </c>
      <c r="BH246" s="13">
        <f t="shared" si="157"/>
        <v>0</v>
      </c>
      <c r="BI246" s="13">
        <f t="shared" si="158"/>
        <v>0</v>
      </c>
      <c r="BJ246" s="13">
        <f t="shared" si="159"/>
        <v>0</v>
      </c>
      <c r="BK246" s="13"/>
      <c r="BL246" s="13">
        <v>87</v>
      </c>
    </row>
    <row r="247" spans="1:64" ht="15" customHeight="1">
      <c r="A247" s="11" t="s">
        <v>293</v>
      </c>
      <c r="B247" s="48" t="s">
        <v>242</v>
      </c>
      <c r="C247" s="48" t="s">
        <v>558</v>
      </c>
      <c r="D247" s="61" t="s">
        <v>332</v>
      </c>
      <c r="E247" s="61"/>
      <c r="F247" s="61"/>
      <c r="G247" s="61"/>
      <c r="H247" s="48" t="s">
        <v>299</v>
      </c>
      <c r="I247" s="13">
        <v>3</v>
      </c>
      <c r="J247" s="13">
        <v>0</v>
      </c>
      <c r="K247" s="13">
        <f t="shared" si="138"/>
        <v>0</v>
      </c>
      <c r="L247" s="13">
        <f t="shared" si="139"/>
        <v>0</v>
      </c>
      <c r="M247" s="13">
        <f t="shared" si="140"/>
        <v>0</v>
      </c>
      <c r="N247" s="13">
        <v>9E-05</v>
      </c>
      <c r="O247" s="10" t="s">
        <v>851</v>
      </c>
      <c r="Z247" s="13">
        <f t="shared" si="141"/>
        <v>0</v>
      </c>
      <c r="AB247" s="13">
        <f t="shared" si="142"/>
        <v>0</v>
      </c>
      <c r="AC247" s="13">
        <f t="shared" si="143"/>
        <v>0</v>
      </c>
      <c r="AD247" s="13">
        <f t="shared" si="144"/>
        <v>0</v>
      </c>
      <c r="AE247" s="13">
        <f t="shared" si="145"/>
        <v>0</v>
      </c>
      <c r="AF247" s="13">
        <f t="shared" si="146"/>
        <v>0</v>
      </c>
      <c r="AG247" s="13">
        <f t="shared" si="147"/>
        <v>0</v>
      </c>
      <c r="AH247" s="13">
        <f t="shared" si="148"/>
        <v>0</v>
      </c>
      <c r="AI247" s="21" t="s">
        <v>242</v>
      </c>
      <c r="AJ247" s="13">
        <f t="shared" si="149"/>
        <v>0</v>
      </c>
      <c r="AK247" s="13">
        <f t="shared" si="150"/>
        <v>0</v>
      </c>
      <c r="AL247" s="13">
        <f t="shared" si="151"/>
        <v>0</v>
      </c>
      <c r="AN247" s="13">
        <v>21</v>
      </c>
      <c r="AO247" s="13">
        <f>J247*0.00995348837209302</f>
        <v>0</v>
      </c>
      <c r="AP247" s="13">
        <f>J247*(1-0.00995348837209302)</f>
        <v>0</v>
      </c>
      <c r="AQ247" s="32" t="s">
        <v>1231</v>
      </c>
      <c r="AV247" s="13">
        <f t="shared" si="152"/>
        <v>0</v>
      </c>
      <c r="AW247" s="13">
        <f t="shared" si="153"/>
        <v>0</v>
      </c>
      <c r="AX247" s="13">
        <f t="shared" si="154"/>
        <v>0</v>
      </c>
      <c r="AY247" s="32" t="s">
        <v>81</v>
      </c>
      <c r="AZ247" s="32" t="s">
        <v>865</v>
      </c>
      <c r="BA247" s="21" t="s">
        <v>902</v>
      </c>
      <c r="BC247" s="13">
        <f t="shared" si="155"/>
        <v>0</v>
      </c>
      <c r="BD247" s="13">
        <f t="shared" si="156"/>
        <v>0</v>
      </c>
      <c r="BE247" s="13">
        <v>0</v>
      </c>
      <c r="BF247" s="13">
        <f>247</f>
        <v>247</v>
      </c>
      <c r="BH247" s="13">
        <f t="shared" si="157"/>
        <v>0</v>
      </c>
      <c r="BI247" s="13">
        <f t="shared" si="158"/>
        <v>0</v>
      </c>
      <c r="BJ247" s="13">
        <f t="shared" si="159"/>
        <v>0</v>
      </c>
      <c r="BK247" s="13"/>
      <c r="BL247" s="13">
        <v>87</v>
      </c>
    </row>
    <row r="248" spans="1:64" ht="15" customHeight="1">
      <c r="A248" s="11" t="s">
        <v>1315</v>
      </c>
      <c r="B248" s="48" t="s">
        <v>242</v>
      </c>
      <c r="C248" s="48" t="s">
        <v>785</v>
      </c>
      <c r="D248" s="61" t="s">
        <v>428</v>
      </c>
      <c r="E248" s="61"/>
      <c r="F248" s="61"/>
      <c r="G248" s="61"/>
      <c r="H248" s="48" t="s">
        <v>299</v>
      </c>
      <c r="I248" s="13">
        <v>3</v>
      </c>
      <c r="J248" s="13">
        <v>0</v>
      </c>
      <c r="K248" s="13">
        <f t="shared" si="138"/>
        <v>0</v>
      </c>
      <c r="L248" s="13">
        <f t="shared" si="139"/>
        <v>0</v>
      </c>
      <c r="M248" s="13">
        <f t="shared" si="140"/>
        <v>0</v>
      </c>
      <c r="N248" s="13">
        <v>0.0042</v>
      </c>
      <c r="O248" s="10" t="s">
        <v>851</v>
      </c>
      <c r="Z248" s="13">
        <f t="shared" si="141"/>
        <v>0</v>
      </c>
      <c r="AB248" s="13">
        <f t="shared" si="142"/>
        <v>0</v>
      </c>
      <c r="AC248" s="13">
        <f t="shared" si="143"/>
        <v>0</v>
      </c>
      <c r="AD248" s="13">
        <f t="shared" si="144"/>
        <v>0</v>
      </c>
      <c r="AE248" s="13">
        <f t="shared" si="145"/>
        <v>0</v>
      </c>
      <c r="AF248" s="13">
        <f t="shared" si="146"/>
        <v>0</v>
      </c>
      <c r="AG248" s="13">
        <f t="shared" si="147"/>
        <v>0</v>
      </c>
      <c r="AH248" s="13">
        <f t="shared" si="148"/>
        <v>0</v>
      </c>
      <c r="AI248" s="21" t="s">
        <v>242</v>
      </c>
      <c r="AJ248" s="13">
        <f t="shared" si="149"/>
        <v>0</v>
      </c>
      <c r="AK248" s="13">
        <f t="shared" si="150"/>
        <v>0</v>
      </c>
      <c r="AL248" s="13">
        <f t="shared" si="151"/>
        <v>0</v>
      </c>
      <c r="AN248" s="13">
        <v>21</v>
      </c>
      <c r="AO248" s="13">
        <f>J248*1</f>
        <v>0</v>
      </c>
      <c r="AP248" s="13">
        <f>J248*(1-1)</f>
        <v>0</v>
      </c>
      <c r="AQ248" s="32" t="s">
        <v>1231</v>
      </c>
      <c r="AV248" s="13">
        <f t="shared" si="152"/>
        <v>0</v>
      </c>
      <c r="AW248" s="13">
        <f t="shared" si="153"/>
        <v>0</v>
      </c>
      <c r="AX248" s="13">
        <f t="shared" si="154"/>
        <v>0</v>
      </c>
      <c r="AY248" s="32" t="s">
        <v>81</v>
      </c>
      <c r="AZ248" s="32" t="s">
        <v>865</v>
      </c>
      <c r="BA248" s="21" t="s">
        <v>902</v>
      </c>
      <c r="BC248" s="13">
        <f t="shared" si="155"/>
        <v>0</v>
      </c>
      <c r="BD248" s="13">
        <f t="shared" si="156"/>
        <v>0</v>
      </c>
      <c r="BE248" s="13">
        <v>0</v>
      </c>
      <c r="BF248" s="13">
        <f>248</f>
        <v>248</v>
      </c>
      <c r="BH248" s="13">
        <f t="shared" si="157"/>
        <v>0</v>
      </c>
      <c r="BI248" s="13">
        <f t="shared" si="158"/>
        <v>0</v>
      </c>
      <c r="BJ248" s="13">
        <f t="shared" si="159"/>
        <v>0</v>
      </c>
      <c r="BK248" s="13"/>
      <c r="BL248" s="13">
        <v>87</v>
      </c>
    </row>
    <row r="249" spans="1:64" ht="15" customHeight="1">
      <c r="A249" s="11" t="s">
        <v>387</v>
      </c>
      <c r="B249" s="48" t="s">
        <v>242</v>
      </c>
      <c r="C249" s="48" t="s">
        <v>1185</v>
      </c>
      <c r="D249" s="61" t="s">
        <v>1395</v>
      </c>
      <c r="E249" s="61"/>
      <c r="F249" s="61"/>
      <c r="G249" s="61"/>
      <c r="H249" s="48" t="s">
        <v>1018</v>
      </c>
      <c r="I249" s="13">
        <v>162.5</v>
      </c>
      <c r="J249" s="13">
        <v>0</v>
      </c>
      <c r="K249" s="13">
        <f t="shared" si="138"/>
        <v>0</v>
      </c>
      <c r="L249" s="13">
        <f t="shared" si="139"/>
        <v>0</v>
      </c>
      <c r="M249" s="13">
        <f t="shared" si="140"/>
        <v>0</v>
      </c>
      <c r="N249" s="13">
        <v>2E-05</v>
      </c>
      <c r="O249" s="10" t="s">
        <v>851</v>
      </c>
      <c r="Z249" s="13">
        <f t="shared" si="141"/>
        <v>0</v>
      </c>
      <c r="AB249" s="13">
        <f t="shared" si="142"/>
        <v>0</v>
      </c>
      <c r="AC249" s="13">
        <f t="shared" si="143"/>
        <v>0</v>
      </c>
      <c r="AD249" s="13">
        <f t="shared" si="144"/>
        <v>0</v>
      </c>
      <c r="AE249" s="13">
        <f t="shared" si="145"/>
        <v>0</v>
      </c>
      <c r="AF249" s="13">
        <f t="shared" si="146"/>
        <v>0</v>
      </c>
      <c r="AG249" s="13">
        <f t="shared" si="147"/>
        <v>0</v>
      </c>
      <c r="AH249" s="13">
        <f t="shared" si="148"/>
        <v>0</v>
      </c>
      <c r="AI249" s="21" t="s">
        <v>242</v>
      </c>
      <c r="AJ249" s="13">
        <f t="shared" si="149"/>
        <v>0</v>
      </c>
      <c r="AK249" s="13">
        <f t="shared" si="150"/>
        <v>0</v>
      </c>
      <c r="AL249" s="13">
        <f t="shared" si="151"/>
        <v>0</v>
      </c>
      <c r="AN249" s="13">
        <v>21</v>
      </c>
      <c r="AO249" s="13">
        <f>J249*0.00474576271186441</f>
        <v>0</v>
      </c>
      <c r="AP249" s="13">
        <f>J249*(1-0.00474576271186441)</f>
        <v>0</v>
      </c>
      <c r="AQ249" s="32" t="s">
        <v>1231</v>
      </c>
      <c r="AV249" s="13">
        <f t="shared" si="152"/>
        <v>0</v>
      </c>
      <c r="AW249" s="13">
        <f t="shared" si="153"/>
        <v>0</v>
      </c>
      <c r="AX249" s="13">
        <f t="shared" si="154"/>
        <v>0</v>
      </c>
      <c r="AY249" s="32" t="s">
        <v>81</v>
      </c>
      <c r="AZ249" s="32" t="s">
        <v>865</v>
      </c>
      <c r="BA249" s="21" t="s">
        <v>902</v>
      </c>
      <c r="BC249" s="13">
        <f t="shared" si="155"/>
        <v>0</v>
      </c>
      <c r="BD249" s="13">
        <f t="shared" si="156"/>
        <v>0</v>
      </c>
      <c r="BE249" s="13">
        <v>0</v>
      </c>
      <c r="BF249" s="13">
        <f>249</f>
        <v>249</v>
      </c>
      <c r="BH249" s="13">
        <f t="shared" si="157"/>
        <v>0</v>
      </c>
      <c r="BI249" s="13">
        <f t="shared" si="158"/>
        <v>0</v>
      </c>
      <c r="BJ249" s="13">
        <f t="shared" si="159"/>
        <v>0</v>
      </c>
      <c r="BK249" s="13"/>
      <c r="BL249" s="13">
        <v>87</v>
      </c>
    </row>
    <row r="250" spans="1:64" ht="15" customHeight="1">
      <c r="A250" s="11" t="s">
        <v>998</v>
      </c>
      <c r="B250" s="48" t="s">
        <v>242</v>
      </c>
      <c r="C250" s="48" t="s">
        <v>753</v>
      </c>
      <c r="D250" s="61" t="s">
        <v>537</v>
      </c>
      <c r="E250" s="61"/>
      <c r="F250" s="61"/>
      <c r="G250" s="61"/>
      <c r="H250" s="48" t="s">
        <v>299</v>
      </c>
      <c r="I250" s="13">
        <v>27</v>
      </c>
      <c r="J250" s="13">
        <v>0</v>
      </c>
      <c r="K250" s="13">
        <f t="shared" si="138"/>
        <v>0</v>
      </c>
      <c r="L250" s="13">
        <f t="shared" si="139"/>
        <v>0</v>
      </c>
      <c r="M250" s="13">
        <f t="shared" si="140"/>
        <v>0</v>
      </c>
      <c r="N250" s="13">
        <v>0.3</v>
      </c>
      <c r="O250" s="10" t="s">
        <v>851</v>
      </c>
      <c r="Z250" s="13">
        <f t="shared" si="141"/>
        <v>0</v>
      </c>
      <c r="AB250" s="13">
        <f t="shared" si="142"/>
        <v>0</v>
      </c>
      <c r="AC250" s="13">
        <f t="shared" si="143"/>
        <v>0</v>
      </c>
      <c r="AD250" s="13">
        <f t="shared" si="144"/>
        <v>0</v>
      </c>
      <c r="AE250" s="13">
        <f t="shared" si="145"/>
        <v>0</v>
      </c>
      <c r="AF250" s="13">
        <f t="shared" si="146"/>
        <v>0</v>
      </c>
      <c r="AG250" s="13">
        <f t="shared" si="147"/>
        <v>0</v>
      </c>
      <c r="AH250" s="13">
        <f t="shared" si="148"/>
        <v>0</v>
      </c>
      <c r="AI250" s="21" t="s">
        <v>242</v>
      </c>
      <c r="AJ250" s="13">
        <f t="shared" si="149"/>
        <v>0</v>
      </c>
      <c r="AK250" s="13">
        <f t="shared" si="150"/>
        <v>0</v>
      </c>
      <c r="AL250" s="13">
        <f t="shared" si="151"/>
        <v>0</v>
      </c>
      <c r="AN250" s="13">
        <v>21</v>
      </c>
      <c r="AO250" s="13">
        <f>J250*1</f>
        <v>0</v>
      </c>
      <c r="AP250" s="13">
        <f>J250*(1-1)</f>
        <v>0</v>
      </c>
      <c r="AQ250" s="32" t="s">
        <v>1231</v>
      </c>
      <c r="AV250" s="13">
        <f t="shared" si="152"/>
        <v>0</v>
      </c>
      <c r="AW250" s="13">
        <f t="shared" si="153"/>
        <v>0</v>
      </c>
      <c r="AX250" s="13">
        <f t="shared" si="154"/>
        <v>0</v>
      </c>
      <c r="AY250" s="32" t="s">
        <v>81</v>
      </c>
      <c r="AZ250" s="32" t="s">
        <v>865</v>
      </c>
      <c r="BA250" s="21" t="s">
        <v>902</v>
      </c>
      <c r="BC250" s="13">
        <f t="shared" si="155"/>
        <v>0</v>
      </c>
      <c r="BD250" s="13">
        <f t="shared" si="156"/>
        <v>0</v>
      </c>
      <c r="BE250" s="13">
        <v>0</v>
      </c>
      <c r="BF250" s="13">
        <f>250</f>
        <v>250</v>
      </c>
      <c r="BH250" s="13">
        <f t="shared" si="157"/>
        <v>0</v>
      </c>
      <c r="BI250" s="13">
        <f t="shared" si="158"/>
        <v>0</v>
      </c>
      <c r="BJ250" s="13">
        <f t="shared" si="159"/>
        <v>0</v>
      </c>
      <c r="BK250" s="13"/>
      <c r="BL250" s="13">
        <v>87</v>
      </c>
    </row>
    <row r="251" spans="1:64" ht="15" customHeight="1">
      <c r="A251" s="11" t="s">
        <v>647</v>
      </c>
      <c r="B251" s="48" t="s">
        <v>242</v>
      </c>
      <c r="C251" s="48" t="s">
        <v>758</v>
      </c>
      <c r="D251" s="61" t="s">
        <v>276</v>
      </c>
      <c r="E251" s="61"/>
      <c r="F251" s="61"/>
      <c r="G251" s="61"/>
      <c r="H251" s="48" t="s">
        <v>299</v>
      </c>
      <c r="I251" s="13">
        <v>1</v>
      </c>
      <c r="J251" s="13">
        <v>0</v>
      </c>
      <c r="K251" s="13">
        <f t="shared" si="138"/>
        <v>0</v>
      </c>
      <c r="L251" s="13">
        <f t="shared" si="139"/>
        <v>0</v>
      </c>
      <c r="M251" s="13">
        <f t="shared" si="140"/>
        <v>0</v>
      </c>
      <c r="N251" s="13">
        <v>0.15</v>
      </c>
      <c r="O251" s="10" t="s">
        <v>851</v>
      </c>
      <c r="Z251" s="13">
        <f t="shared" si="141"/>
        <v>0</v>
      </c>
      <c r="AB251" s="13">
        <f t="shared" si="142"/>
        <v>0</v>
      </c>
      <c r="AC251" s="13">
        <f t="shared" si="143"/>
        <v>0</v>
      </c>
      <c r="AD251" s="13">
        <f t="shared" si="144"/>
        <v>0</v>
      </c>
      <c r="AE251" s="13">
        <f t="shared" si="145"/>
        <v>0</v>
      </c>
      <c r="AF251" s="13">
        <f t="shared" si="146"/>
        <v>0</v>
      </c>
      <c r="AG251" s="13">
        <f t="shared" si="147"/>
        <v>0</v>
      </c>
      <c r="AH251" s="13">
        <f t="shared" si="148"/>
        <v>0</v>
      </c>
      <c r="AI251" s="21" t="s">
        <v>242</v>
      </c>
      <c r="AJ251" s="13">
        <f t="shared" si="149"/>
        <v>0</v>
      </c>
      <c r="AK251" s="13">
        <f t="shared" si="150"/>
        <v>0</v>
      </c>
      <c r="AL251" s="13">
        <f t="shared" si="151"/>
        <v>0</v>
      </c>
      <c r="AN251" s="13">
        <v>21</v>
      </c>
      <c r="AO251" s="13">
        <f>J251*1</f>
        <v>0</v>
      </c>
      <c r="AP251" s="13">
        <f>J251*(1-1)</f>
        <v>0</v>
      </c>
      <c r="AQ251" s="32" t="s">
        <v>1231</v>
      </c>
      <c r="AV251" s="13">
        <f t="shared" si="152"/>
        <v>0</v>
      </c>
      <c r="AW251" s="13">
        <f t="shared" si="153"/>
        <v>0</v>
      </c>
      <c r="AX251" s="13">
        <f t="shared" si="154"/>
        <v>0</v>
      </c>
      <c r="AY251" s="32" t="s">
        <v>81</v>
      </c>
      <c r="AZ251" s="32" t="s">
        <v>865</v>
      </c>
      <c r="BA251" s="21" t="s">
        <v>902</v>
      </c>
      <c r="BC251" s="13">
        <f t="shared" si="155"/>
        <v>0</v>
      </c>
      <c r="BD251" s="13">
        <f t="shared" si="156"/>
        <v>0</v>
      </c>
      <c r="BE251" s="13">
        <v>0</v>
      </c>
      <c r="BF251" s="13">
        <f>251</f>
        <v>251</v>
      </c>
      <c r="BH251" s="13">
        <f t="shared" si="157"/>
        <v>0</v>
      </c>
      <c r="BI251" s="13">
        <f t="shared" si="158"/>
        <v>0</v>
      </c>
      <c r="BJ251" s="13">
        <f t="shared" si="159"/>
        <v>0</v>
      </c>
      <c r="BK251" s="13"/>
      <c r="BL251" s="13">
        <v>87</v>
      </c>
    </row>
    <row r="252" spans="1:64" ht="15" customHeight="1">
      <c r="A252" s="11" t="s">
        <v>31</v>
      </c>
      <c r="B252" s="48" t="s">
        <v>242</v>
      </c>
      <c r="C252" s="48" t="s">
        <v>1085</v>
      </c>
      <c r="D252" s="61" t="s">
        <v>474</v>
      </c>
      <c r="E252" s="61"/>
      <c r="F252" s="61"/>
      <c r="G252" s="61"/>
      <c r="H252" s="48" t="s">
        <v>299</v>
      </c>
      <c r="I252" s="13">
        <v>3</v>
      </c>
      <c r="J252" s="13">
        <v>0</v>
      </c>
      <c r="K252" s="13">
        <f t="shared" si="138"/>
        <v>0</v>
      </c>
      <c r="L252" s="13">
        <f t="shared" si="139"/>
        <v>0</v>
      </c>
      <c r="M252" s="13">
        <f t="shared" si="140"/>
        <v>0</v>
      </c>
      <c r="N252" s="13">
        <v>0.00015</v>
      </c>
      <c r="O252" s="10" t="s">
        <v>851</v>
      </c>
      <c r="Z252" s="13">
        <f t="shared" si="141"/>
        <v>0</v>
      </c>
      <c r="AB252" s="13">
        <f t="shared" si="142"/>
        <v>0</v>
      </c>
      <c r="AC252" s="13">
        <f t="shared" si="143"/>
        <v>0</v>
      </c>
      <c r="AD252" s="13">
        <f t="shared" si="144"/>
        <v>0</v>
      </c>
      <c r="AE252" s="13">
        <f t="shared" si="145"/>
        <v>0</v>
      </c>
      <c r="AF252" s="13">
        <f t="shared" si="146"/>
        <v>0</v>
      </c>
      <c r="AG252" s="13">
        <f t="shared" si="147"/>
        <v>0</v>
      </c>
      <c r="AH252" s="13">
        <f t="shared" si="148"/>
        <v>0</v>
      </c>
      <c r="AI252" s="21" t="s">
        <v>242</v>
      </c>
      <c r="AJ252" s="13">
        <f t="shared" si="149"/>
        <v>0</v>
      </c>
      <c r="AK252" s="13">
        <f t="shared" si="150"/>
        <v>0</v>
      </c>
      <c r="AL252" s="13">
        <f t="shared" si="151"/>
        <v>0</v>
      </c>
      <c r="AN252" s="13">
        <v>21</v>
      </c>
      <c r="AO252" s="13">
        <f>J252*0.0117908787541713</f>
        <v>0</v>
      </c>
      <c r="AP252" s="13">
        <f>J252*(1-0.0117908787541713)</f>
        <v>0</v>
      </c>
      <c r="AQ252" s="32" t="s">
        <v>1231</v>
      </c>
      <c r="AV252" s="13">
        <f t="shared" si="152"/>
        <v>0</v>
      </c>
      <c r="AW252" s="13">
        <f t="shared" si="153"/>
        <v>0</v>
      </c>
      <c r="AX252" s="13">
        <f t="shared" si="154"/>
        <v>0</v>
      </c>
      <c r="AY252" s="32" t="s">
        <v>81</v>
      </c>
      <c r="AZ252" s="32" t="s">
        <v>865</v>
      </c>
      <c r="BA252" s="21" t="s">
        <v>902</v>
      </c>
      <c r="BC252" s="13">
        <f t="shared" si="155"/>
        <v>0</v>
      </c>
      <c r="BD252" s="13">
        <f t="shared" si="156"/>
        <v>0</v>
      </c>
      <c r="BE252" s="13">
        <v>0</v>
      </c>
      <c r="BF252" s="13">
        <f>252</f>
        <v>252</v>
      </c>
      <c r="BH252" s="13">
        <f t="shared" si="157"/>
        <v>0</v>
      </c>
      <c r="BI252" s="13">
        <f t="shared" si="158"/>
        <v>0</v>
      </c>
      <c r="BJ252" s="13">
        <f t="shared" si="159"/>
        <v>0</v>
      </c>
      <c r="BK252" s="13"/>
      <c r="BL252" s="13">
        <v>87</v>
      </c>
    </row>
    <row r="253" spans="1:64" ht="15" customHeight="1">
      <c r="A253" s="11" t="s">
        <v>934</v>
      </c>
      <c r="B253" s="48" t="s">
        <v>242</v>
      </c>
      <c r="C253" s="48" t="s">
        <v>386</v>
      </c>
      <c r="D253" s="61" t="s">
        <v>770</v>
      </c>
      <c r="E253" s="61"/>
      <c r="F253" s="61"/>
      <c r="G253" s="61"/>
      <c r="H253" s="48" t="s">
        <v>299</v>
      </c>
      <c r="I253" s="13">
        <v>3</v>
      </c>
      <c r="J253" s="13">
        <v>0</v>
      </c>
      <c r="K253" s="13">
        <f t="shared" si="138"/>
        <v>0</v>
      </c>
      <c r="L253" s="13">
        <f t="shared" si="139"/>
        <v>0</v>
      </c>
      <c r="M253" s="13">
        <f t="shared" si="140"/>
        <v>0</v>
      </c>
      <c r="N253" s="13">
        <v>0.0082</v>
      </c>
      <c r="O253" s="10" t="s">
        <v>851</v>
      </c>
      <c r="Z253" s="13">
        <f t="shared" si="141"/>
        <v>0</v>
      </c>
      <c r="AB253" s="13">
        <f t="shared" si="142"/>
        <v>0</v>
      </c>
      <c r="AC253" s="13">
        <f t="shared" si="143"/>
        <v>0</v>
      </c>
      <c r="AD253" s="13">
        <f t="shared" si="144"/>
        <v>0</v>
      </c>
      <c r="AE253" s="13">
        <f t="shared" si="145"/>
        <v>0</v>
      </c>
      <c r="AF253" s="13">
        <f t="shared" si="146"/>
        <v>0</v>
      </c>
      <c r="AG253" s="13">
        <f t="shared" si="147"/>
        <v>0</v>
      </c>
      <c r="AH253" s="13">
        <f t="shared" si="148"/>
        <v>0</v>
      </c>
      <c r="AI253" s="21" t="s">
        <v>242</v>
      </c>
      <c r="AJ253" s="13">
        <f t="shared" si="149"/>
        <v>0</v>
      </c>
      <c r="AK253" s="13">
        <f t="shared" si="150"/>
        <v>0</v>
      </c>
      <c r="AL253" s="13">
        <f t="shared" si="151"/>
        <v>0</v>
      </c>
      <c r="AN253" s="13">
        <v>21</v>
      </c>
      <c r="AO253" s="13">
        <f>J253*1</f>
        <v>0</v>
      </c>
      <c r="AP253" s="13">
        <f>J253*(1-1)</f>
        <v>0</v>
      </c>
      <c r="AQ253" s="32" t="s">
        <v>1231</v>
      </c>
      <c r="AV253" s="13">
        <f t="shared" si="152"/>
        <v>0</v>
      </c>
      <c r="AW253" s="13">
        <f t="shared" si="153"/>
        <v>0</v>
      </c>
      <c r="AX253" s="13">
        <f t="shared" si="154"/>
        <v>0</v>
      </c>
      <c r="AY253" s="32" t="s">
        <v>81</v>
      </c>
      <c r="AZ253" s="32" t="s">
        <v>865</v>
      </c>
      <c r="BA253" s="21" t="s">
        <v>902</v>
      </c>
      <c r="BC253" s="13">
        <f t="shared" si="155"/>
        <v>0</v>
      </c>
      <c r="BD253" s="13">
        <f t="shared" si="156"/>
        <v>0</v>
      </c>
      <c r="BE253" s="13">
        <v>0</v>
      </c>
      <c r="BF253" s="13">
        <f>253</f>
        <v>253</v>
      </c>
      <c r="BH253" s="13">
        <f t="shared" si="157"/>
        <v>0</v>
      </c>
      <c r="BI253" s="13">
        <f t="shared" si="158"/>
        <v>0</v>
      </c>
      <c r="BJ253" s="13">
        <f t="shared" si="159"/>
        <v>0</v>
      </c>
      <c r="BK253" s="13"/>
      <c r="BL253" s="13">
        <v>87</v>
      </c>
    </row>
    <row r="254" spans="1:64" ht="15" customHeight="1">
      <c r="A254" s="11" t="s">
        <v>1321</v>
      </c>
      <c r="B254" s="48" t="s">
        <v>242</v>
      </c>
      <c r="C254" s="48" t="s">
        <v>206</v>
      </c>
      <c r="D254" s="61" t="s">
        <v>295</v>
      </c>
      <c r="E254" s="61"/>
      <c r="F254" s="61"/>
      <c r="G254" s="61"/>
      <c r="H254" s="48" t="s">
        <v>1018</v>
      </c>
      <c r="I254" s="13">
        <v>99.4</v>
      </c>
      <c r="J254" s="13">
        <v>0</v>
      </c>
      <c r="K254" s="13">
        <f t="shared" si="138"/>
        <v>0</v>
      </c>
      <c r="L254" s="13">
        <f t="shared" si="139"/>
        <v>0</v>
      </c>
      <c r="M254" s="13">
        <f t="shared" si="140"/>
        <v>0</v>
      </c>
      <c r="N254" s="13">
        <v>2E-05</v>
      </c>
      <c r="O254" s="10" t="s">
        <v>851</v>
      </c>
      <c r="Z254" s="13">
        <f t="shared" si="141"/>
        <v>0</v>
      </c>
      <c r="AB254" s="13">
        <f t="shared" si="142"/>
        <v>0</v>
      </c>
      <c r="AC254" s="13">
        <f t="shared" si="143"/>
        <v>0</v>
      </c>
      <c r="AD254" s="13">
        <f t="shared" si="144"/>
        <v>0</v>
      </c>
      <c r="AE254" s="13">
        <f t="shared" si="145"/>
        <v>0</v>
      </c>
      <c r="AF254" s="13">
        <f t="shared" si="146"/>
        <v>0</v>
      </c>
      <c r="AG254" s="13">
        <f t="shared" si="147"/>
        <v>0</v>
      </c>
      <c r="AH254" s="13">
        <f t="shared" si="148"/>
        <v>0</v>
      </c>
      <c r="AI254" s="21" t="s">
        <v>242</v>
      </c>
      <c r="AJ254" s="13">
        <f t="shared" si="149"/>
        <v>0</v>
      </c>
      <c r="AK254" s="13">
        <f t="shared" si="150"/>
        <v>0</v>
      </c>
      <c r="AL254" s="13">
        <f t="shared" si="151"/>
        <v>0</v>
      </c>
      <c r="AN254" s="13">
        <v>21</v>
      </c>
      <c r="AO254" s="13">
        <f>J254*0.00459627329192547</f>
        <v>0</v>
      </c>
      <c r="AP254" s="13">
        <f>J254*(1-0.00459627329192547)</f>
        <v>0</v>
      </c>
      <c r="AQ254" s="32" t="s">
        <v>1231</v>
      </c>
      <c r="AV254" s="13">
        <f t="shared" si="152"/>
        <v>0</v>
      </c>
      <c r="AW254" s="13">
        <f t="shared" si="153"/>
        <v>0</v>
      </c>
      <c r="AX254" s="13">
        <f t="shared" si="154"/>
        <v>0</v>
      </c>
      <c r="AY254" s="32" t="s">
        <v>81</v>
      </c>
      <c r="AZ254" s="32" t="s">
        <v>865</v>
      </c>
      <c r="BA254" s="21" t="s">
        <v>902</v>
      </c>
      <c r="BC254" s="13">
        <f t="shared" si="155"/>
        <v>0</v>
      </c>
      <c r="BD254" s="13">
        <f t="shared" si="156"/>
        <v>0</v>
      </c>
      <c r="BE254" s="13">
        <v>0</v>
      </c>
      <c r="BF254" s="13">
        <f>254</f>
        <v>254</v>
      </c>
      <c r="BH254" s="13">
        <f t="shared" si="157"/>
        <v>0</v>
      </c>
      <c r="BI254" s="13">
        <f t="shared" si="158"/>
        <v>0</v>
      </c>
      <c r="BJ254" s="13">
        <f t="shared" si="159"/>
        <v>0</v>
      </c>
      <c r="BK254" s="13"/>
      <c r="BL254" s="13">
        <v>87</v>
      </c>
    </row>
    <row r="255" spans="1:64" ht="15" customHeight="1">
      <c r="A255" s="11" t="s">
        <v>1222</v>
      </c>
      <c r="B255" s="48" t="s">
        <v>242</v>
      </c>
      <c r="C255" s="48" t="s">
        <v>637</v>
      </c>
      <c r="D255" s="61" t="s">
        <v>1377</v>
      </c>
      <c r="E255" s="61"/>
      <c r="F255" s="61"/>
      <c r="G255" s="61"/>
      <c r="H255" s="48" t="s">
        <v>299</v>
      </c>
      <c r="I255" s="13">
        <v>17</v>
      </c>
      <c r="J255" s="13">
        <v>0</v>
      </c>
      <c r="K255" s="13">
        <f t="shared" si="138"/>
        <v>0</v>
      </c>
      <c r="L255" s="13">
        <f t="shared" si="139"/>
        <v>0</v>
      </c>
      <c r="M255" s="13">
        <f t="shared" si="140"/>
        <v>0</v>
      </c>
      <c r="N255" s="13">
        <v>0.4463</v>
      </c>
      <c r="O255" s="10" t="s">
        <v>851</v>
      </c>
      <c r="Z255" s="13">
        <f t="shared" si="141"/>
        <v>0</v>
      </c>
      <c r="AB255" s="13">
        <f t="shared" si="142"/>
        <v>0</v>
      </c>
      <c r="AC255" s="13">
        <f t="shared" si="143"/>
        <v>0</v>
      </c>
      <c r="AD255" s="13">
        <f t="shared" si="144"/>
        <v>0</v>
      </c>
      <c r="AE255" s="13">
        <f t="shared" si="145"/>
        <v>0</v>
      </c>
      <c r="AF255" s="13">
        <f t="shared" si="146"/>
        <v>0</v>
      </c>
      <c r="AG255" s="13">
        <f t="shared" si="147"/>
        <v>0</v>
      </c>
      <c r="AH255" s="13">
        <f t="shared" si="148"/>
        <v>0</v>
      </c>
      <c r="AI255" s="21" t="s">
        <v>242</v>
      </c>
      <c r="AJ255" s="13">
        <f t="shared" si="149"/>
        <v>0</v>
      </c>
      <c r="AK255" s="13">
        <f t="shared" si="150"/>
        <v>0</v>
      </c>
      <c r="AL255" s="13">
        <f t="shared" si="151"/>
        <v>0</v>
      </c>
      <c r="AN255" s="13">
        <v>21</v>
      </c>
      <c r="AO255" s="13">
        <f>J255*1</f>
        <v>0</v>
      </c>
      <c r="AP255" s="13">
        <f>J255*(1-1)</f>
        <v>0</v>
      </c>
      <c r="AQ255" s="32" t="s">
        <v>1231</v>
      </c>
      <c r="AV255" s="13">
        <f t="shared" si="152"/>
        <v>0</v>
      </c>
      <c r="AW255" s="13">
        <f t="shared" si="153"/>
        <v>0</v>
      </c>
      <c r="AX255" s="13">
        <f t="shared" si="154"/>
        <v>0</v>
      </c>
      <c r="AY255" s="32" t="s">
        <v>81</v>
      </c>
      <c r="AZ255" s="32" t="s">
        <v>865</v>
      </c>
      <c r="BA255" s="21" t="s">
        <v>902</v>
      </c>
      <c r="BC255" s="13">
        <f t="shared" si="155"/>
        <v>0</v>
      </c>
      <c r="BD255" s="13">
        <f t="shared" si="156"/>
        <v>0</v>
      </c>
      <c r="BE255" s="13">
        <v>0</v>
      </c>
      <c r="BF255" s="13">
        <f>255</f>
        <v>255</v>
      </c>
      <c r="BH255" s="13">
        <f t="shared" si="157"/>
        <v>0</v>
      </c>
      <c r="BI255" s="13">
        <f t="shared" si="158"/>
        <v>0</v>
      </c>
      <c r="BJ255" s="13">
        <f t="shared" si="159"/>
        <v>0</v>
      </c>
      <c r="BK255" s="13"/>
      <c r="BL255" s="13">
        <v>87</v>
      </c>
    </row>
    <row r="256" spans="1:64" ht="15" customHeight="1">
      <c r="A256" s="11" t="s">
        <v>961</v>
      </c>
      <c r="B256" s="48" t="s">
        <v>242</v>
      </c>
      <c r="C256" s="48" t="s">
        <v>1085</v>
      </c>
      <c r="D256" s="61" t="s">
        <v>474</v>
      </c>
      <c r="E256" s="61"/>
      <c r="F256" s="61"/>
      <c r="G256" s="61"/>
      <c r="H256" s="48" t="s">
        <v>299</v>
      </c>
      <c r="I256" s="13">
        <v>1</v>
      </c>
      <c r="J256" s="13">
        <v>0</v>
      </c>
      <c r="K256" s="13">
        <f t="shared" si="138"/>
        <v>0</v>
      </c>
      <c r="L256" s="13">
        <f t="shared" si="139"/>
        <v>0</v>
      </c>
      <c r="M256" s="13">
        <f t="shared" si="140"/>
        <v>0</v>
      </c>
      <c r="N256" s="13">
        <v>0.00015</v>
      </c>
      <c r="O256" s="10" t="s">
        <v>851</v>
      </c>
      <c r="Z256" s="13">
        <f t="shared" si="141"/>
        <v>0</v>
      </c>
      <c r="AB256" s="13">
        <f t="shared" si="142"/>
        <v>0</v>
      </c>
      <c r="AC256" s="13">
        <f t="shared" si="143"/>
        <v>0</v>
      </c>
      <c r="AD256" s="13">
        <f t="shared" si="144"/>
        <v>0</v>
      </c>
      <c r="AE256" s="13">
        <f t="shared" si="145"/>
        <v>0</v>
      </c>
      <c r="AF256" s="13">
        <f t="shared" si="146"/>
        <v>0</v>
      </c>
      <c r="AG256" s="13">
        <f t="shared" si="147"/>
        <v>0</v>
      </c>
      <c r="AH256" s="13">
        <f t="shared" si="148"/>
        <v>0</v>
      </c>
      <c r="AI256" s="21" t="s">
        <v>242</v>
      </c>
      <c r="AJ256" s="13">
        <f t="shared" si="149"/>
        <v>0</v>
      </c>
      <c r="AK256" s="13">
        <f t="shared" si="150"/>
        <v>0</v>
      </c>
      <c r="AL256" s="13">
        <f t="shared" si="151"/>
        <v>0</v>
      </c>
      <c r="AN256" s="13">
        <v>21</v>
      </c>
      <c r="AO256" s="13">
        <f>J256*0.0117908787541713</f>
        <v>0</v>
      </c>
      <c r="AP256" s="13">
        <f>J256*(1-0.0117908787541713)</f>
        <v>0</v>
      </c>
      <c r="AQ256" s="32" t="s">
        <v>1231</v>
      </c>
      <c r="AV256" s="13">
        <f t="shared" si="152"/>
        <v>0</v>
      </c>
      <c r="AW256" s="13">
        <f t="shared" si="153"/>
        <v>0</v>
      </c>
      <c r="AX256" s="13">
        <f t="shared" si="154"/>
        <v>0</v>
      </c>
      <c r="AY256" s="32" t="s">
        <v>81</v>
      </c>
      <c r="AZ256" s="32" t="s">
        <v>865</v>
      </c>
      <c r="BA256" s="21" t="s">
        <v>902</v>
      </c>
      <c r="BC256" s="13">
        <f t="shared" si="155"/>
        <v>0</v>
      </c>
      <c r="BD256" s="13">
        <f t="shared" si="156"/>
        <v>0</v>
      </c>
      <c r="BE256" s="13">
        <v>0</v>
      </c>
      <c r="BF256" s="13">
        <f>256</f>
        <v>256</v>
      </c>
      <c r="BH256" s="13">
        <f t="shared" si="157"/>
        <v>0</v>
      </c>
      <c r="BI256" s="13">
        <f t="shared" si="158"/>
        <v>0</v>
      </c>
      <c r="BJ256" s="13">
        <f t="shared" si="159"/>
        <v>0</v>
      </c>
      <c r="BK256" s="13"/>
      <c r="BL256" s="13">
        <v>87</v>
      </c>
    </row>
    <row r="257" spans="1:64" ht="15" customHeight="1">
      <c r="A257" s="11" t="s">
        <v>781</v>
      </c>
      <c r="B257" s="48" t="s">
        <v>242</v>
      </c>
      <c r="C257" s="48" t="s">
        <v>379</v>
      </c>
      <c r="D257" s="61" t="s">
        <v>1039</v>
      </c>
      <c r="E257" s="61"/>
      <c r="F257" s="61"/>
      <c r="G257" s="61"/>
      <c r="H257" s="48" t="s">
        <v>299</v>
      </c>
      <c r="I257" s="13">
        <v>1</v>
      </c>
      <c r="J257" s="13">
        <v>0</v>
      </c>
      <c r="K257" s="13">
        <f t="shared" si="138"/>
        <v>0</v>
      </c>
      <c r="L257" s="13">
        <f t="shared" si="139"/>
        <v>0</v>
      </c>
      <c r="M257" s="13">
        <f t="shared" si="140"/>
        <v>0</v>
      </c>
      <c r="N257" s="13">
        <v>0.0122</v>
      </c>
      <c r="O257" s="10" t="s">
        <v>851</v>
      </c>
      <c r="Z257" s="13">
        <f t="shared" si="141"/>
        <v>0</v>
      </c>
      <c r="AB257" s="13">
        <f t="shared" si="142"/>
        <v>0</v>
      </c>
      <c r="AC257" s="13">
        <f t="shared" si="143"/>
        <v>0</v>
      </c>
      <c r="AD257" s="13">
        <f t="shared" si="144"/>
        <v>0</v>
      </c>
      <c r="AE257" s="13">
        <f t="shared" si="145"/>
        <v>0</v>
      </c>
      <c r="AF257" s="13">
        <f t="shared" si="146"/>
        <v>0</v>
      </c>
      <c r="AG257" s="13">
        <f t="shared" si="147"/>
        <v>0</v>
      </c>
      <c r="AH257" s="13">
        <f t="shared" si="148"/>
        <v>0</v>
      </c>
      <c r="AI257" s="21" t="s">
        <v>242</v>
      </c>
      <c r="AJ257" s="13">
        <f t="shared" si="149"/>
        <v>0</v>
      </c>
      <c r="AK257" s="13">
        <f t="shared" si="150"/>
        <v>0</v>
      </c>
      <c r="AL257" s="13">
        <f t="shared" si="151"/>
        <v>0</v>
      </c>
      <c r="AN257" s="13">
        <v>21</v>
      </c>
      <c r="AO257" s="13">
        <f>J257*1</f>
        <v>0</v>
      </c>
      <c r="AP257" s="13">
        <f>J257*(1-1)</f>
        <v>0</v>
      </c>
      <c r="AQ257" s="32" t="s">
        <v>1231</v>
      </c>
      <c r="AV257" s="13">
        <f t="shared" si="152"/>
        <v>0</v>
      </c>
      <c r="AW257" s="13">
        <f t="shared" si="153"/>
        <v>0</v>
      </c>
      <c r="AX257" s="13">
        <f t="shared" si="154"/>
        <v>0</v>
      </c>
      <c r="AY257" s="32" t="s">
        <v>81</v>
      </c>
      <c r="AZ257" s="32" t="s">
        <v>865</v>
      </c>
      <c r="BA257" s="21" t="s">
        <v>902</v>
      </c>
      <c r="BC257" s="13">
        <f t="shared" si="155"/>
        <v>0</v>
      </c>
      <c r="BD257" s="13">
        <f t="shared" si="156"/>
        <v>0</v>
      </c>
      <c r="BE257" s="13">
        <v>0</v>
      </c>
      <c r="BF257" s="13">
        <f>257</f>
        <v>257</v>
      </c>
      <c r="BH257" s="13">
        <f t="shared" si="157"/>
        <v>0</v>
      </c>
      <c r="BI257" s="13">
        <f t="shared" si="158"/>
        <v>0</v>
      </c>
      <c r="BJ257" s="13">
        <f t="shared" si="159"/>
        <v>0</v>
      </c>
      <c r="BK257" s="13"/>
      <c r="BL257" s="13">
        <v>87</v>
      </c>
    </row>
    <row r="258" spans="1:64" ht="15" customHeight="1">
      <c r="A258" s="11" t="s">
        <v>119</v>
      </c>
      <c r="B258" s="48" t="s">
        <v>242</v>
      </c>
      <c r="C258" s="48" t="s">
        <v>818</v>
      </c>
      <c r="D258" s="61" t="s">
        <v>211</v>
      </c>
      <c r="E258" s="61"/>
      <c r="F258" s="61"/>
      <c r="G258" s="61"/>
      <c r="H258" s="48" t="s">
        <v>299</v>
      </c>
      <c r="I258" s="13">
        <v>24</v>
      </c>
      <c r="J258" s="13">
        <v>0</v>
      </c>
      <c r="K258" s="13">
        <f t="shared" si="138"/>
        <v>0</v>
      </c>
      <c r="L258" s="13">
        <f t="shared" si="139"/>
        <v>0</v>
      </c>
      <c r="M258" s="13">
        <f t="shared" si="140"/>
        <v>0</v>
      </c>
      <c r="N258" s="13">
        <v>0.00017</v>
      </c>
      <c r="O258" s="10" t="s">
        <v>851</v>
      </c>
      <c r="Z258" s="13">
        <f t="shared" si="141"/>
        <v>0</v>
      </c>
      <c r="AB258" s="13">
        <f t="shared" si="142"/>
        <v>0</v>
      </c>
      <c r="AC258" s="13">
        <f t="shared" si="143"/>
        <v>0</v>
      </c>
      <c r="AD258" s="13">
        <f t="shared" si="144"/>
        <v>0</v>
      </c>
      <c r="AE258" s="13">
        <f t="shared" si="145"/>
        <v>0</v>
      </c>
      <c r="AF258" s="13">
        <f t="shared" si="146"/>
        <v>0</v>
      </c>
      <c r="AG258" s="13">
        <f t="shared" si="147"/>
        <v>0</v>
      </c>
      <c r="AH258" s="13">
        <f t="shared" si="148"/>
        <v>0</v>
      </c>
      <c r="AI258" s="21" t="s">
        <v>242</v>
      </c>
      <c r="AJ258" s="13">
        <f t="shared" si="149"/>
        <v>0</v>
      </c>
      <c r="AK258" s="13">
        <f t="shared" si="150"/>
        <v>0</v>
      </c>
      <c r="AL258" s="13">
        <f t="shared" si="151"/>
        <v>0</v>
      </c>
      <c r="AN258" s="13">
        <v>21</v>
      </c>
      <c r="AO258" s="13">
        <f>J258*0.00667420687801655</f>
        <v>0</v>
      </c>
      <c r="AP258" s="13">
        <f>J258*(1-0.00667420687801655)</f>
        <v>0</v>
      </c>
      <c r="AQ258" s="32" t="s">
        <v>1231</v>
      </c>
      <c r="AV258" s="13">
        <f t="shared" si="152"/>
        <v>0</v>
      </c>
      <c r="AW258" s="13">
        <f t="shared" si="153"/>
        <v>0</v>
      </c>
      <c r="AX258" s="13">
        <f t="shared" si="154"/>
        <v>0</v>
      </c>
      <c r="AY258" s="32" t="s">
        <v>81</v>
      </c>
      <c r="AZ258" s="32" t="s">
        <v>865</v>
      </c>
      <c r="BA258" s="21" t="s">
        <v>902</v>
      </c>
      <c r="BC258" s="13">
        <f t="shared" si="155"/>
        <v>0</v>
      </c>
      <c r="BD258" s="13">
        <f t="shared" si="156"/>
        <v>0</v>
      </c>
      <c r="BE258" s="13">
        <v>0</v>
      </c>
      <c r="BF258" s="13">
        <f>258</f>
        <v>258</v>
      </c>
      <c r="BH258" s="13">
        <f t="shared" si="157"/>
        <v>0</v>
      </c>
      <c r="BI258" s="13">
        <f t="shared" si="158"/>
        <v>0</v>
      </c>
      <c r="BJ258" s="13">
        <f t="shared" si="159"/>
        <v>0</v>
      </c>
      <c r="BK258" s="13"/>
      <c r="BL258" s="13">
        <v>87</v>
      </c>
    </row>
    <row r="259" spans="1:64" ht="15" customHeight="1">
      <c r="A259" s="11" t="s">
        <v>853</v>
      </c>
      <c r="B259" s="48" t="s">
        <v>242</v>
      </c>
      <c r="C259" s="48" t="s">
        <v>383</v>
      </c>
      <c r="D259" s="61" t="s">
        <v>521</v>
      </c>
      <c r="E259" s="61"/>
      <c r="F259" s="61"/>
      <c r="G259" s="61"/>
      <c r="H259" s="48" t="s">
        <v>299</v>
      </c>
      <c r="I259" s="13">
        <v>13</v>
      </c>
      <c r="J259" s="13">
        <v>0</v>
      </c>
      <c r="K259" s="13">
        <f t="shared" si="138"/>
        <v>0</v>
      </c>
      <c r="L259" s="13">
        <f t="shared" si="139"/>
        <v>0</v>
      </c>
      <c r="M259" s="13">
        <f t="shared" si="140"/>
        <v>0</v>
      </c>
      <c r="N259" s="13">
        <v>0.00028</v>
      </c>
      <c r="O259" s="10" t="s">
        <v>851</v>
      </c>
      <c r="Z259" s="13">
        <f t="shared" si="141"/>
        <v>0</v>
      </c>
      <c r="AB259" s="13">
        <f t="shared" si="142"/>
        <v>0</v>
      </c>
      <c r="AC259" s="13">
        <f t="shared" si="143"/>
        <v>0</v>
      </c>
      <c r="AD259" s="13">
        <f t="shared" si="144"/>
        <v>0</v>
      </c>
      <c r="AE259" s="13">
        <f t="shared" si="145"/>
        <v>0</v>
      </c>
      <c r="AF259" s="13">
        <f t="shared" si="146"/>
        <v>0</v>
      </c>
      <c r="AG259" s="13">
        <f t="shared" si="147"/>
        <v>0</v>
      </c>
      <c r="AH259" s="13">
        <f t="shared" si="148"/>
        <v>0</v>
      </c>
      <c r="AI259" s="21" t="s">
        <v>242</v>
      </c>
      <c r="AJ259" s="13">
        <f t="shared" si="149"/>
        <v>0</v>
      </c>
      <c r="AK259" s="13">
        <f t="shared" si="150"/>
        <v>0</v>
      </c>
      <c r="AL259" s="13">
        <f t="shared" si="151"/>
        <v>0</v>
      </c>
      <c r="AN259" s="13">
        <v>21</v>
      </c>
      <c r="AO259" s="13">
        <f>J259*0.00803104575163399</f>
        <v>0</v>
      </c>
      <c r="AP259" s="13">
        <f>J259*(1-0.00803104575163399)</f>
        <v>0</v>
      </c>
      <c r="AQ259" s="32" t="s">
        <v>1231</v>
      </c>
      <c r="AV259" s="13">
        <f t="shared" si="152"/>
        <v>0</v>
      </c>
      <c r="AW259" s="13">
        <f t="shared" si="153"/>
        <v>0</v>
      </c>
      <c r="AX259" s="13">
        <f t="shared" si="154"/>
        <v>0</v>
      </c>
      <c r="AY259" s="32" t="s">
        <v>81</v>
      </c>
      <c r="AZ259" s="32" t="s">
        <v>865</v>
      </c>
      <c r="BA259" s="21" t="s">
        <v>902</v>
      </c>
      <c r="BC259" s="13">
        <f t="shared" si="155"/>
        <v>0</v>
      </c>
      <c r="BD259" s="13">
        <f t="shared" si="156"/>
        <v>0</v>
      </c>
      <c r="BE259" s="13">
        <v>0</v>
      </c>
      <c r="BF259" s="13">
        <f>259</f>
        <v>259</v>
      </c>
      <c r="BH259" s="13">
        <f t="shared" si="157"/>
        <v>0</v>
      </c>
      <c r="BI259" s="13">
        <f t="shared" si="158"/>
        <v>0</v>
      </c>
      <c r="BJ259" s="13">
        <f t="shared" si="159"/>
        <v>0</v>
      </c>
      <c r="BK259" s="13"/>
      <c r="BL259" s="13">
        <v>87</v>
      </c>
    </row>
    <row r="260" spans="1:64" ht="15" customHeight="1">
      <c r="A260" s="11" t="s">
        <v>967</v>
      </c>
      <c r="B260" s="48" t="s">
        <v>242</v>
      </c>
      <c r="C260" s="48" t="s">
        <v>2</v>
      </c>
      <c r="D260" s="61" t="s">
        <v>366</v>
      </c>
      <c r="E260" s="61"/>
      <c r="F260" s="61"/>
      <c r="G260" s="61"/>
      <c r="H260" s="48" t="s">
        <v>299</v>
      </c>
      <c r="I260" s="13">
        <v>6</v>
      </c>
      <c r="J260" s="13">
        <v>0</v>
      </c>
      <c r="K260" s="13">
        <f t="shared" si="138"/>
        <v>0</v>
      </c>
      <c r="L260" s="13">
        <f t="shared" si="139"/>
        <v>0</v>
      </c>
      <c r="M260" s="13">
        <f t="shared" si="140"/>
        <v>0</v>
      </c>
      <c r="N260" s="13">
        <v>0.00039</v>
      </c>
      <c r="O260" s="10" t="s">
        <v>851</v>
      </c>
      <c r="Z260" s="13">
        <f t="shared" si="141"/>
        <v>0</v>
      </c>
      <c r="AB260" s="13">
        <f t="shared" si="142"/>
        <v>0</v>
      </c>
      <c r="AC260" s="13">
        <f t="shared" si="143"/>
        <v>0</v>
      </c>
      <c r="AD260" s="13">
        <f t="shared" si="144"/>
        <v>0</v>
      </c>
      <c r="AE260" s="13">
        <f t="shared" si="145"/>
        <v>0</v>
      </c>
      <c r="AF260" s="13">
        <f t="shared" si="146"/>
        <v>0</v>
      </c>
      <c r="AG260" s="13">
        <f t="shared" si="147"/>
        <v>0</v>
      </c>
      <c r="AH260" s="13">
        <f t="shared" si="148"/>
        <v>0</v>
      </c>
      <c r="AI260" s="21" t="s">
        <v>242</v>
      </c>
      <c r="AJ260" s="13">
        <f t="shared" si="149"/>
        <v>0</v>
      </c>
      <c r="AK260" s="13">
        <f t="shared" si="150"/>
        <v>0</v>
      </c>
      <c r="AL260" s="13">
        <f t="shared" si="151"/>
        <v>0</v>
      </c>
      <c r="AN260" s="13">
        <v>21</v>
      </c>
      <c r="AO260" s="13">
        <f>J260*0.00882506527415144</f>
        <v>0</v>
      </c>
      <c r="AP260" s="13">
        <f>J260*(1-0.00882506527415144)</f>
        <v>0</v>
      </c>
      <c r="AQ260" s="32" t="s">
        <v>1231</v>
      </c>
      <c r="AV260" s="13">
        <f t="shared" si="152"/>
        <v>0</v>
      </c>
      <c r="AW260" s="13">
        <f t="shared" si="153"/>
        <v>0</v>
      </c>
      <c r="AX260" s="13">
        <f t="shared" si="154"/>
        <v>0</v>
      </c>
      <c r="AY260" s="32" t="s">
        <v>81</v>
      </c>
      <c r="AZ260" s="32" t="s">
        <v>865</v>
      </c>
      <c r="BA260" s="21" t="s">
        <v>902</v>
      </c>
      <c r="BC260" s="13">
        <f t="shared" si="155"/>
        <v>0</v>
      </c>
      <c r="BD260" s="13">
        <f t="shared" si="156"/>
        <v>0</v>
      </c>
      <c r="BE260" s="13">
        <v>0</v>
      </c>
      <c r="BF260" s="13">
        <f>260</f>
        <v>260</v>
      </c>
      <c r="BH260" s="13">
        <f t="shared" si="157"/>
        <v>0</v>
      </c>
      <c r="BI260" s="13">
        <f t="shared" si="158"/>
        <v>0</v>
      </c>
      <c r="BJ260" s="13">
        <f t="shared" si="159"/>
        <v>0</v>
      </c>
      <c r="BK260" s="13"/>
      <c r="BL260" s="13">
        <v>87</v>
      </c>
    </row>
    <row r="261" spans="1:64" ht="15" customHeight="1">
      <c r="A261" s="11" t="s">
        <v>285</v>
      </c>
      <c r="B261" s="48" t="s">
        <v>242</v>
      </c>
      <c r="C261" s="48" t="s">
        <v>198</v>
      </c>
      <c r="D261" s="61" t="s">
        <v>650</v>
      </c>
      <c r="E261" s="61"/>
      <c r="F261" s="61"/>
      <c r="G261" s="61"/>
      <c r="H261" s="48" t="s">
        <v>299</v>
      </c>
      <c r="I261" s="13">
        <v>43</v>
      </c>
      <c r="J261" s="13">
        <v>0</v>
      </c>
      <c r="K261" s="13">
        <f t="shared" si="138"/>
        <v>0</v>
      </c>
      <c r="L261" s="13">
        <f t="shared" si="139"/>
        <v>0</v>
      </c>
      <c r="M261" s="13">
        <f t="shared" si="140"/>
        <v>0</v>
      </c>
      <c r="N261" s="13">
        <v>0.0024</v>
      </c>
      <c r="O261" s="10" t="s">
        <v>851</v>
      </c>
      <c r="Z261" s="13">
        <f t="shared" si="141"/>
        <v>0</v>
      </c>
      <c r="AB261" s="13">
        <f t="shared" si="142"/>
        <v>0</v>
      </c>
      <c r="AC261" s="13">
        <f t="shared" si="143"/>
        <v>0</v>
      </c>
      <c r="AD261" s="13">
        <f t="shared" si="144"/>
        <v>0</v>
      </c>
      <c r="AE261" s="13">
        <f t="shared" si="145"/>
        <v>0</v>
      </c>
      <c r="AF261" s="13">
        <f t="shared" si="146"/>
        <v>0</v>
      </c>
      <c r="AG261" s="13">
        <f t="shared" si="147"/>
        <v>0</v>
      </c>
      <c r="AH261" s="13">
        <f t="shared" si="148"/>
        <v>0</v>
      </c>
      <c r="AI261" s="21" t="s">
        <v>242</v>
      </c>
      <c r="AJ261" s="13">
        <f t="shared" si="149"/>
        <v>0</v>
      </c>
      <c r="AK261" s="13">
        <f t="shared" si="150"/>
        <v>0</v>
      </c>
      <c r="AL261" s="13">
        <f t="shared" si="151"/>
        <v>0</v>
      </c>
      <c r="AN261" s="13">
        <v>21</v>
      </c>
      <c r="AO261" s="13">
        <f>J261*1</f>
        <v>0</v>
      </c>
      <c r="AP261" s="13">
        <f>J261*(1-1)</f>
        <v>0</v>
      </c>
      <c r="AQ261" s="32" t="s">
        <v>1231</v>
      </c>
      <c r="AV261" s="13">
        <f t="shared" si="152"/>
        <v>0</v>
      </c>
      <c r="AW261" s="13">
        <f t="shared" si="153"/>
        <v>0</v>
      </c>
      <c r="AX261" s="13">
        <f t="shared" si="154"/>
        <v>0</v>
      </c>
      <c r="AY261" s="32" t="s">
        <v>81</v>
      </c>
      <c r="AZ261" s="32" t="s">
        <v>865</v>
      </c>
      <c r="BA261" s="21" t="s">
        <v>902</v>
      </c>
      <c r="BC261" s="13">
        <f t="shared" si="155"/>
        <v>0</v>
      </c>
      <c r="BD261" s="13">
        <f t="shared" si="156"/>
        <v>0</v>
      </c>
      <c r="BE261" s="13">
        <v>0</v>
      </c>
      <c r="BF261" s="13">
        <f>261</f>
        <v>261</v>
      </c>
      <c r="BH261" s="13">
        <f t="shared" si="157"/>
        <v>0</v>
      </c>
      <c r="BI261" s="13">
        <f t="shared" si="158"/>
        <v>0</v>
      </c>
      <c r="BJ261" s="13">
        <f t="shared" si="159"/>
        <v>0</v>
      </c>
      <c r="BK261" s="13"/>
      <c r="BL261" s="13">
        <v>87</v>
      </c>
    </row>
    <row r="262" spans="1:64" ht="15" customHeight="1">
      <c r="A262" s="11" t="s">
        <v>1371</v>
      </c>
      <c r="B262" s="48" t="s">
        <v>242</v>
      </c>
      <c r="C262" s="48" t="s">
        <v>660</v>
      </c>
      <c r="D262" s="61" t="s">
        <v>831</v>
      </c>
      <c r="E262" s="61"/>
      <c r="F262" s="61"/>
      <c r="G262" s="61"/>
      <c r="H262" s="48" t="s">
        <v>1018</v>
      </c>
      <c r="I262" s="13">
        <v>6</v>
      </c>
      <c r="J262" s="13">
        <v>0</v>
      </c>
      <c r="K262" s="13">
        <f t="shared" si="138"/>
        <v>0</v>
      </c>
      <c r="L262" s="13">
        <f t="shared" si="139"/>
        <v>0</v>
      </c>
      <c r="M262" s="13">
        <f t="shared" si="140"/>
        <v>0</v>
      </c>
      <c r="N262" s="13">
        <v>1E-05</v>
      </c>
      <c r="O262" s="10" t="s">
        <v>851</v>
      </c>
      <c r="Z262" s="13">
        <f t="shared" si="141"/>
        <v>0</v>
      </c>
      <c r="AB262" s="13">
        <f t="shared" si="142"/>
        <v>0</v>
      </c>
      <c r="AC262" s="13">
        <f t="shared" si="143"/>
        <v>0</v>
      </c>
      <c r="AD262" s="13">
        <f t="shared" si="144"/>
        <v>0</v>
      </c>
      <c r="AE262" s="13">
        <f t="shared" si="145"/>
        <v>0</v>
      </c>
      <c r="AF262" s="13">
        <f t="shared" si="146"/>
        <v>0</v>
      </c>
      <c r="AG262" s="13">
        <f t="shared" si="147"/>
        <v>0</v>
      </c>
      <c r="AH262" s="13">
        <f t="shared" si="148"/>
        <v>0</v>
      </c>
      <c r="AI262" s="21" t="s">
        <v>242</v>
      </c>
      <c r="AJ262" s="13">
        <f t="shared" si="149"/>
        <v>0</v>
      </c>
      <c r="AK262" s="13">
        <f t="shared" si="150"/>
        <v>0</v>
      </c>
      <c r="AL262" s="13">
        <f t="shared" si="151"/>
        <v>0</v>
      </c>
      <c r="AN262" s="13">
        <v>21</v>
      </c>
      <c r="AO262" s="13">
        <f>J262*0.006</f>
        <v>0</v>
      </c>
      <c r="AP262" s="13">
        <f>J262*(1-0.006)</f>
        <v>0</v>
      </c>
      <c r="AQ262" s="32" t="s">
        <v>1231</v>
      </c>
      <c r="AV262" s="13">
        <f t="shared" si="152"/>
        <v>0</v>
      </c>
      <c r="AW262" s="13">
        <f t="shared" si="153"/>
        <v>0</v>
      </c>
      <c r="AX262" s="13">
        <f t="shared" si="154"/>
        <v>0</v>
      </c>
      <c r="AY262" s="32" t="s">
        <v>81</v>
      </c>
      <c r="AZ262" s="32" t="s">
        <v>865</v>
      </c>
      <c r="BA262" s="21" t="s">
        <v>902</v>
      </c>
      <c r="BC262" s="13">
        <f t="shared" si="155"/>
        <v>0</v>
      </c>
      <c r="BD262" s="13">
        <f t="shared" si="156"/>
        <v>0</v>
      </c>
      <c r="BE262" s="13">
        <v>0</v>
      </c>
      <c r="BF262" s="13">
        <f>262</f>
        <v>262</v>
      </c>
      <c r="BH262" s="13">
        <f t="shared" si="157"/>
        <v>0</v>
      </c>
      <c r="BI262" s="13">
        <f t="shared" si="158"/>
        <v>0</v>
      </c>
      <c r="BJ262" s="13">
        <f t="shared" si="159"/>
        <v>0</v>
      </c>
      <c r="BK262" s="13"/>
      <c r="BL262" s="13">
        <v>87</v>
      </c>
    </row>
    <row r="263" spans="1:64" ht="15" customHeight="1">
      <c r="A263" s="11" t="s">
        <v>706</v>
      </c>
      <c r="B263" s="48" t="s">
        <v>242</v>
      </c>
      <c r="C263" s="48" t="s">
        <v>597</v>
      </c>
      <c r="D263" s="61" t="s">
        <v>1089</v>
      </c>
      <c r="E263" s="61"/>
      <c r="F263" s="61"/>
      <c r="G263" s="61"/>
      <c r="H263" s="48" t="s">
        <v>299</v>
      </c>
      <c r="I263" s="13">
        <v>1</v>
      </c>
      <c r="J263" s="13">
        <v>0</v>
      </c>
      <c r="K263" s="13">
        <f t="shared" si="138"/>
        <v>0</v>
      </c>
      <c r="L263" s="13">
        <f t="shared" si="139"/>
        <v>0</v>
      </c>
      <c r="M263" s="13">
        <f t="shared" si="140"/>
        <v>0</v>
      </c>
      <c r="N263" s="13">
        <v>0.0659</v>
      </c>
      <c r="O263" s="10" t="s">
        <v>851</v>
      </c>
      <c r="Z263" s="13">
        <f t="shared" si="141"/>
        <v>0</v>
      </c>
      <c r="AB263" s="13">
        <f t="shared" si="142"/>
        <v>0</v>
      </c>
      <c r="AC263" s="13">
        <f t="shared" si="143"/>
        <v>0</v>
      </c>
      <c r="AD263" s="13">
        <f t="shared" si="144"/>
        <v>0</v>
      </c>
      <c r="AE263" s="13">
        <f t="shared" si="145"/>
        <v>0</v>
      </c>
      <c r="AF263" s="13">
        <f t="shared" si="146"/>
        <v>0</v>
      </c>
      <c r="AG263" s="13">
        <f t="shared" si="147"/>
        <v>0</v>
      </c>
      <c r="AH263" s="13">
        <f t="shared" si="148"/>
        <v>0</v>
      </c>
      <c r="AI263" s="21" t="s">
        <v>242</v>
      </c>
      <c r="AJ263" s="13">
        <f t="shared" si="149"/>
        <v>0</v>
      </c>
      <c r="AK263" s="13">
        <f t="shared" si="150"/>
        <v>0</v>
      </c>
      <c r="AL263" s="13">
        <f t="shared" si="151"/>
        <v>0</v>
      </c>
      <c r="AN263" s="13">
        <v>21</v>
      </c>
      <c r="AO263" s="13">
        <f>J263*1</f>
        <v>0</v>
      </c>
      <c r="AP263" s="13">
        <f>J263*(1-1)</f>
        <v>0</v>
      </c>
      <c r="AQ263" s="32" t="s">
        <v>1231</v>
      </c>
      <c r="AV263" s="13">
        <f t="shared" si="152"/>
        <v>0</v>
      </c>
      <c r="AW263" s="13">
        <f t="shared" si="153"/>
        <v>0</v>
      </c>
      <c r="AX263" s="13">
        <f t="shared" si="154"/>
        <v>0</v>
      </c>
      <c r="AY263" s="32" t="s">
        <v>81</v>
      </c>
      <c r="AZ263" s="32" t="s">
        <v>865</v>
      </c>
      <c r="BA263" s="21" t="s">
        <v>902</v>
      </c>
      <c r="BC263" s="13">
        <f t="shared" si="155"/>
        <v>0</v>
      </c>
      <c r="BD263" s="13">
        <f t="shared" si="156"/>
        <v>0</v>
      </c>
      <c r="BE263" s="13">
        <v>0</v>
      </c>
      <c r="BF263" s="13">
        <f>263</f>
        <v>263</v>
      </c>
      <c r="BH263" s="13">
        <f t="shared" si="157"/>
        <v>0</v>
      </c>
      <c r="BI263" s="13">
        <f t="shared" si="158"/>
        <v>0</v>
      </c>
      <c r="BJ263" s="13">
        <f t="shared" si="159"/>
        <v>0</v>
      </c>
      <c r="BK263" s="13"/>
      <c r="BL263" s="13">
        <v>87</v>
      </c>
    </row>
    <row r="264" spans="1:47" ht="15" customHeight="1">
      <c r="A264" s="30" t="s">
        <v>862</v>
      </c>
      <c r="B264" s="18" t="s">
        <v>242</v>
      </c>
      <c r="C264" s="18" t="s">
        <v>1308</v>
      </c>
      <c r="D264" s="73" t="s">
        <v>805</v>
      </c>
      <c r="E264" s="73"/>
      <c r="F264" s="73"/>
      <c r="G264" s="73"/>
      <c r="H264" s="15" t="s">
        <v>1148</v>
      </c>
      <c r="I264" s="15" t="s">
        <v>1148</v>
      </c>
      <c r="J264" s="15" t="s">
        <v>1148</v>
      </c>
      <c r="K264" s="56">
        <f>SUM(K265:K292)</f>
        <v>0</v>
      </c>
      <c r="L264" s="56">
        <f>SUM(L265:L292)</f>
        <v>0</v>
      </c>
      <c r="M264" s="56">
        <f>SUM(M265:M292)</f>
        <v>0</v>
      </c>
      <c r="N264" s="21" t="s">
        <v>862</v>
      </c>
      <c r="O264" s="47" t="s">
        <v>862</v>
      </c>
      <c r="AI264" s="21" t="s">
        <v>242</v>
      </c>
      <c r="AS264" s="56">
        <f>SUM(AJ265:AJ292)</f>
        <v>0</v>
      </c>
      <c r="AT264" s="56">
        <f>SUM(AK265:AK292)</f>
        <v>0</v>
      </c>
      <c r="AU264" s="56">
        <f>SUM(AL265:AL292)</f>
        <v>0</v>
      </c>
    </row>
    <row r="265" spans="1:64" ht="15" customHeight="1">
      <c r="A265" s="11" t="s">
        <v>297</v>
      </c>
      <c r="B265" s="48" t="s">
        <v>242</v>
      </c>
      <c r="C265" s="48" t="s">
        <v>178</v>
      </c>
      <c r="D265" s="61" t="s">
        <v>453</v>
      </c>
      <c r="E265" s="61"/>
      <c r="F265" s="61"/>
      <c r="G265" s="61"/>
      <c r="H265" s="48" t="s">
        <v>1018</v>
      </c>
      <c r="I265" s="13">
        <v>1265.11</v>
      </c>
      <c r="J265" s="13">
        <v>0</v>
      </c>
      <c r="K265" s="13">
        <f aca="true" t="shared" si="160" ref="K265:K292">I265*AO265</f>
        <v>0</v>
      </c>
      <c r="L265" s="13">
        <f aca="true" t="shared" si="161" ref="L265:L292">I265*AP265</f>
        <v>0</v>
      </c>
      <c r="M265" s="13">
        <f aca="true" t="shared" si="162" ref="M265:M292">I265*J265</f>
        <v>0</v>
      </c>
      <c r="N265" s="13">
        <v>0</v>
      </c>
      <c r="O265" s="10" t="s">
        <v>851</v>
      </c>
      <c r="Z265" s="13">
        <f aca="true" t="shared" si="163" ref="Z265:Z292">IF(AQ265="5",BJ265,0)</f>
        <v>0</v>
      </c>
      <c r="AB265" s="13">
        <f aca="true" t="shared" si="164" ref="AB265:AB292">IF(AQ265="1",BH265,0)</f>
        <v>0</v>
      </c>
      <c r="AC265" s="13">
        <f aca="true" t="shared" si="165" ref="AC265:AC292">IF(AQ265="1",BI265,0)</f>
        <v>0</v>
      </c>
      <c r="AD265" s="13">
        <f aca="true" t="shared" si="166" ref="AD265:AD292">IF(AQ265="7",BH265,0)</f>
        <v>0</v>
      </c>
      <c r="AE265" s="13">
        <f aca="true" t="shared" si="167" ref="AE265:AE292">IF(AQ265="7",BI265,0)</f>
        <v>0</v>
      </c>
      <c r="AF265" s="13">
        <f aca="true" t="shared" si="168" ref="AF265:AF292">IF(AQ265="2",BH265,0)</f>
        <v>0</v>
      </c>
      <c r="AG265" s="13">
        <f aca="true" t="shared" si="169" ref="AG265:AG292">IF(AQ265="2",BI265,0)</f>
        <v>0</v>
      </c>
      <c r="AH265" s="13">
        <f aca="true" t="shared" si="170" ref="AH265:AH292">IF(AQ265="0",BJ265,0)</f>
        <v>0</v>
      </c>
      <c r="AI265" s="21" t="s">
        <v>242</v>
      </c>
      <c r="AJ265" s="13">
        <f aca="true" t="shared" si="171" ref="AJ265:AJ292">IF(AN265=0,M265,0)</f>
        <v>0</v>
      </c>
      <c r="AK265" s="13">
        <f aca="true" t="shared" si="172" ref="AK265:AK292">IF(AN265=15,M265,0)</f>
        <v>0</v>
      </c>
      <c r="AL265" s="13">
        <f aca="true" t="shared" si="173" ref="AL265:AL292">IF(AN265=21,M265,0)</f>
        <v>0</v>
      </c>
      <c r="AN265" s="13">
        <v>21</v>
      </c>
      <c r="AO265" s="13">
        <f>J265*0.322424165194363</f>
        <v>0</v>
      </c>
      <c r="AP265" s="13">
        <f>J265*(1-0.322424165194363)</f>
        <v>0</v>
      </c>
      <c r="AQ265" s="32" t="s">
        <v>1231</v>
      </c>
      <c r="AV265" s="13">
        <f aca="true" t="shared" si="174" ref="AV265:AV292">AW265+AX265</f>
        <v>0</v>
      </c>
      <c r="AW265" s="13">
        <f aca="true" t="shared" si="175" ref="AW265:AW292">I265*AO265</f>
        <v>0</v>
      </c>
      <c r="AX265" s="13">
        <f aca="true" t="shared" si="176" ref="AX265:AX292">I265*AP265</f>
        <v>0</v>
      </c>
      <c r="AY265" s="32" t="s">
        <v>98</v>
      </c>
      <c r="AZ265" s="32" t="s">
        <v>865</v>
      </c>
      <c r="BA265" s="21" t="s">
        <v>902</v>
      </c>
      <c r="BC265" s="13">
        <f aca="true" t="shared" si="177" ref="BC265:BC292">AW265+AX265</f>
        <v>0</v>
      </c>
      <c r="BD265" s="13">
        <f aca="true" t="shared" si="178" ref="BD265:BD292">J265/(100-BE265)*100</f>
        <v>0</v>
      </c>
      <c r="BE265" s="13">
        <v>0</v>
      </c>
      <c r="BF265" s="13">
        <f>265</f>
        <v>265</v>
      </c>
      <c r="BH265" s="13">
        <f aca="true" t="shared" si="179" ref="BH265:BH292">I265*AO265</f>
        <v>0</v>
      </c>
      <c r="BI265" s="13">
        <f aca="true" t="shared" si="180" ref="BI265:BI292">I265*AP265</f>
        <v>0</v>
      </c>
      <c r="BJ265" s="13">
        <f aca="true" t="shared" si="181" ref="BJ265:BJ292">I265*J265</f>
        <v>0</v>
      </c>
      <c r="BK265" s="13"/>
      <c r="BL265" s="13">
        <v>89</v>
      </c>
    </row>
    <row r="266" spans="1:64" ht="15" customHeight="1">
      <c r="A266" s="11" t="s">
        <v>943</v>
      </c>
      <c r="B266" s="48" t="s">
        <v>242</v>
      </c>
      <c r="C266" s="48" t="s">
        <v>374</v>
      </c>
      <c r="D266" s="61" t="s">
        <v>310</v>
      </c>
      <c r="E266" s="61"/>
      <c r="F266" s="61"/>
      <c r="G266" s="61"/>
      <c r="H266" s="48" t="s">
        <v>1018</v>
      </c>
      <c r="I266" s="13">
        <v>464</v>
      </c>
      <c r="J266" s="13">
        <v>0</v>
      </c>
      <c r="K266" s="13">
        <f t="shared" si="160"/>
        <v>0</v>
      </c>
      <c r="L266" s="13">
        <f t="shared" si="161"/>
        <v>0</v>
      </c>
      <c r="M266" s="13">
        <f t="shared" si="162"/>
        <v>0</v>
      </c>
      <c r="N266" s="13">
        <v>0</v>
      </c>
      <c r="O266" s="10" t="s">
        <v>851</v>
      </c>
      <c r="Z266" s="13">
        <f t="shared" si="163"/>
        <v>0</v>
      </c>
      <c r="AB266" s="13">
        <f t="shared" si="164"/>
        <v>0</v>
      </c>
      <c r="AC266" s="13">
        <f t="shared" si="165"/>
        <v>0</v>
      </c>
      <c r="AD266" s="13">
        <f t="shared" si="166"/>
        <v>0</v>
      </c>
      <c r="AE266" s="13">
        <f t="shared" si="167"/>
        <v>0</v>
      </c>
      <c r="AF266" s="13">
        <f t="shared" si="168"/>
        <v>0</v>
      </c>
      <c r="AG266" s="13">
        <f t="shared" si="169"/>
        <v>0</v>
      </c>
      <c r="AH266" s="13">
        <f t="shared" si="170"/>
        <v>0</v>
      </c>
      <c r="AI266" s="21" t="s">
        <v>242</v>
      </c>
      <c r="AJ266" s="13">
        <f t="shared" si="171"/>
        <v>0</v>
      </c>
      <c r="AK266" s="13">
        <f t="shared" si="172"/>
        <v>0</v>
      </c>
      <c r="AL266" s="13">
        <f t="shared" si="173"/>
        <v>0</v>
      </c>
      <c r="AN266" s="13">
        <v>21</v>
      </c>
      <c r="AO266" s="13">
        <f>J266*0</f>
        <v>0</v>
      </c>
      <c r="AP266" s="13">
        <f>J266*(1-0)</f>
        <v>0</v>
      </c>
      <c r="AQ266" s="32" t="s">
        <v>1231</v>
      </c>
      <c r="AV266" s="13">
        <f t="shared" si="174"/>
        <v>0</v>
      </c>
      <c r="AW266" s="13">
        <f t="shared" si="175"/>
        <v>0</v>
      </c>
      <c r="AX266" s="13">
        <f t="shared" si="176"/>
        <v>0</v>
      </c>
      <c r="AY266" s="32" t="s">
        <v>98</v>
      </c>
      <c r="AZ266" s="32" t="s">
        <v>865</v>
      </c>
      <c r="BA266" s="21" t="s">
        <v>902</v>
      </c>
      <c r="BC266" s="13">
        <f t="shared" si="177"/>
        <v>0</v>
      </c>
      <c r="BD266" s="13">
        <f t="shared" si="178"/>
        <v>0</v>
      </c>
      <c r="BE266" s="13">
        <v>0</v>
      </c>
      <c r="BF266" s="13">
        <f>266</f>
        <v>266</v>
      </c>
      <c r="BH266" s="13">
        <f t="shared" si="179"/>
        <v>0</v>
      </c>
      <c r="BI266" s="13">
        <f t="shared" si="180"/>
        <v>0</v>
      </c>
      <c r="BJ266" s="13">
        <f t="shared" si="181"/>
        <v>0</v>
      </c>
      <c r="BK266" s="13"/>
      <c r="BL266" s="13">
        <v>89</v>
      </c>
    </row>
    <row r="267" spans="1:64" ht="15" customHeight="1">
      <c r="A267" s="11" t="s">
        <v>609</v>
      </c>
      <c r="B267" s="48" t="s">
        <v>242</v>
      </c>
      <c r="C267" s="48" t="s">
        <v>648</v>
      </c>
      <c r="D267" s="61" t="s">
        <v>1048</v>
      </c>
      <c r="E267" s="61"/>
      <c r="F267" s="61"/>
      <c r="G267" s="61"/>
      <c r="H267" s="48" t="s">
        <v>299</v>
      </c>
      <c r="I267" s="13">
        <v>10</v>
      </c>
      <c r="J267" s="13">
        <v>0</v>
      </c>
      <c r="K267" s="13">
        <f t="shared" si="160"/>
        <v>0</v>
      </c>
      <c r="L267" s="13">
        <f t="shared" si="161"/>
        <v>0</v>
      </c>
      <c r="M267" s="13">
        <f t="shared" si="162"/>
        <v>0</v>
      </c>
      <c r="N267" s="13">
        <v>0</v>
      </c>
      <c r="O267" s="10" t="s">
        <v>851</v>
      </c>
      <c r="Z267" s="13">
        <f t="shared" si="163"/>
        <v>0</v>
      </c>
      <c r="AB267" s="13">
        <f t="shared" si="164"/>
        <v>0</v>
      </c>
      <c r="AC267" s="13">
        <f t="shared" si="165"/>
        <v>0</v>
      </c>
      <c r="AD267" s="13">
        <f t="shared" si="166"/>
        <v>0</v>
      </c>
      <c r="AE267" s="13">
        <f t="shared" si="167"/>
        <v>0</v>
      </c>
      <c r="AF267" s="13">
        <f t="shared" si="168"/>
        <v>0</v>
      </c>
      <c r="AG267" s="13">
        <f t="shared" si="169"/>
        <v>0</v>
      </c>
      <c r="AH267" s="13">
        <f t="shared" si="170"/>
        <v>0</v>
      </c>
      <c r="AI267" s="21" t="s">
        <v>242</v>
      </c>
      <c r="AJ267" s="13">
        <f t="shared" si="171"/>
        <v>0</v>
      </c>
      <c r="AK267" s="13">
        <f t="shared" si="172"/>
        <v>0</v>
      </c>
      <c r="AL267" s="13">
        <f t="shared" si="173"/>
        <v>0</v>
      </c>
      <c r="AN267" s="13">
        <v>21</v>
      </c>
      <c r="AO267" s="13">
        <f>J267*0</f>
        <v>0</v>
      </c>
      <c r="AP267" s="13">
        <f>J267*(1-0)</f>
        <v>0</v>
      </c>
      <c r="AQ267" s="32" t="s">
        <v>1231</v>
      </c>
      <c r="AV267" s="13">
        <f t="shared" si="174"/>
        <v>0</v>
      </c>
      <c r="AW267" s="13">
        <f t="shared" si="175"/>
        <v>0</v>
      </c>
      <c r="AX267" s="13">
        <f t="shared" si="176"/>
        <v>0</v>
      </c>
      <c r="AY267" s="32" t="s">
        <v>98</v>
      </c>
      <c r="AZ267" s="32" t="s">
        <v>865</v>
      </c>
      <c r="BA267" s="21" t="s">
        <v>902</v>
      </c>
      <c r="BC267" s="13">
        <f t="shared" si="177"/>
        <v>0</v>
      </c>
      <c r="BD267" s="13">
        <f t="shared" si="178"/>
        <v>0</v>
      </c>
      <c r="BE267" s="13">
        <v>0</v>
      </c>
      <c r="BF267" s="13">
        <f>267</f>
        <v>267</v>
      </c>
      <c r="BH267" s="13">
        <f t="shared" si="179"/>
        <v>0</v>
      </c>
      <c r="BI267" s="13">
        <f t="shared" si="180"/>
        <v>0</v>
      </c>
      <c r="BJ267" s="13">
        <f t="shared" si="181"/>
        <v>0</v>
      </c>
      <c r="BK267" s="13"/>
      <c r="BL267" s="13">
        <v>89</v>
      </c>
    </row>
    <row r="268" spans="1:64" ht="15" customHeight="1">
      <c r="A268" s="11" t="s">
        <v>12</v>
      </c>
      <c r="B268" s="48" t="s">
        <v>242</v>
      </c>
      <c r="C268" s="48" t="s">
        <v>882</v>
      </c>
      <c r="D268" s="61" t="s">
        <v>1243</v>
      </c>
      <c r="E268" s="61"/>
      <c r="F268" s="61"/>
      <c r="G268" s="61"/>
      <c r="H268" s="48" t="s">
        <v>299</v>
      </c>
      <c r="I268" s="13">
        <v>4</v>
      </c>
      <c r="J268" s="13">
        <v>0</v>
      </c>
      <c r="K268" s="13">
        <f t="shared" si="160"/>
        <v>0</v>
      </c>
      <c r="L268" s="13">
        <f t="shared" si="161"/>
        <v>0</v>
      </c>
      <c r="M268" s="13">
        <f t="shared" si="162"/>
        <v>0</v>
      </c>
      <c r="N268" s="13">
        <v>1.6</v>
      </c>
      <c r="O268" s="10" t="s">
        <v>851</v>
      </c>
      <c r="Z268" s="13">
        <f t="shared" si="163"/>
        <v>0</v>
      </c>
      <c r="AB268" s="13">
        <f t="shared" si="164"/>
        <v>0</v>
      </c>
      <c r="AC268" s="13">
        <f t="shared" si="165"/>
        <v>0</v>
      </c>
      <c r="AD268" s="13">
        <f t="shared" si="166"/>
        <v>0</v>
      </c>
      <c r="AE268" s="13">
        <f t="shared" si="167"/>
        <v>0</v>
      </c>
      <c r="AF268" s="13">
        <f t="shared" si="168"/>
        <v>0</v>
      </c>
      <c r="AG268" s="13">
        <f t="shared" si="169"/>
        <v>0</v>
      </c>
      <c r="AH268" s="13">
        <f t="shared" si="170"/>
        <v>0</v>
      </c>
      <c r="AI268" s="21" t="s">
        <v>242</v>
      </c>
      <c r="AJ268" s="13">
        <f t="shared" si="171"/>
        <v>0</v>
      </c>
      <c r="AK268" s="13">
        <f t="shared" si="172"/>
        <v>0</v>
      </c>
      <c r="AL268" s="13">
        <f t="shared" si="173"/>
        <v>0</v>
      </c>
      <c r="AN268" s="13">
        <v>21</v>
      </c>
      <c r="AO268" s="13">
        <f>J268*1</f>
        <v>0</v>
      </c>
      <c r="AP268" s="13">
        <f>J268*(1-1)</f>
        <v>0</v>
      </c>
      <c r="AQ268" s="32" t="s">
        <v>1231</v>
      </c>
      <c r="AV268" s="13">
        <f t="shared" si="174"/>
        <v>0</v>
      </c>
      <c r="AW268" s="13">
        <f t="shared" si="175"/>
        <v>0</v>
      </c>
      <c r="AX268" s="13">
        <f t="shared" si="176"/>
        <v>0</v>
      </c>
      <c r="AY268" s="32" t="s">
        <v>98</v>
      </c>
      <c r="AZ268" s="32" t="s">
        <v>865</v>
      </c>
      <c r="BA268" s="21" t="s">
        <v>902</v>
      </c>
      <c r="BC268" s="13">
        <f t="shared" si="177"/>
        <v>0</v>
      </c>
      <c r="BD268" s="13">
        <f t="shared" si="178"/>
        <v>0</v>
      </c>
      <c r="BE268" s="13">
        <v>0</v>
      </c>
      <c r="BF268" s="13">
        <f>268</f>
        <v>268</v>
      </c>
      <c r="BH268" s="13">
        <f t="shared" si="179"/>
        <v>0</v>
      </c>
      <c r="BI268" s="13">
        <f t="shared" si="180"/>
        <v>0</v>
      </c>
      <c r="BJ268" s="13">
        <f t="shared" si="181"/>
        <v>0</v>
      </c>
      <c r="BK268" s="13"/>
      <c r="BL268" s="13">
        <v>89</v>
      </c>
    </row>
    <row r="269" spans="1:64" ht="15" customHeight="1">
      <c r="A269" s="11" t="s">
        <v>491</v>
      </c>
      <c r="B269" s="48" t="s">
        <v>242</v>
      </c>
      <c r="C269" s="48" t="s">
        <v>115</v>
      </c>
      <c r="D269" s="61" t="s">
        <v>406</v>
      </c>
      <c r="E269" s="61"/>
      <c r="F269" s="61"/>
      <c r="G269" s="61"/>
      <c r="H269" s="48" t="s">
        <v>299</v>
      </c>
      <c r="I269" s="13">
        <v>6</v>
      </c>
      <c r="J269" s="13">
        <v>0</v>
      </c>
      <c r="K269" s="13">
        <f t="shared" si="160"/>
        <v>0</v>
      </c>
      <c r="L269" s="13">
        <f t="shared" si="161"/>
        <v>0</v>
      </c>
      <c r="M269" s="13">
        <f t="shared" si="162"/>
        <v>0</v>
      </c>
      <c r="N269" s="13">
        <v>2.1</v>
      </c>
      <c r="O269" s="10" t="s">
        <v>851</v>
      </c>
      <c r="Z269" s="13">
        <f t="shared" si="163"/>
        <v>0</v>
      </c>
      <c r="AB269" s="13">
        <f t="shared" si="164"/>
        <v>0</v>
      </c>
      <c r="AC269" s="13">
        <f t="shared" si="165"/>
        <v>0</v>
      </c>
      <c r="AD269" s="13">
        <f t="shared" si="166"/>
        <v>0</v>
      </c>
      <c r="AE269" s="13">
        <f t="shared" si="167"/>
        <v>0</v>
      </c>
      <c r="AF269" s="13">
        <f t="shared" si="168"/>
        <v>0</v>
      </c>
      <c r="AG269" s="13">
        <f t="shared" si="169"/>
        <v>0</v>
      </c>
      <c r="AH269" s="13">
        <f t="shared" si="170"/>
        <v>0</v>
      </c>
      <c r="AI269" s="21" t="s">
        <v>242</v>
      </c>
      <c r="AJ269" s="13">
        <f t="shared" si="171"/>
        <v>0</v>
      </c>
      <c r="AK269" s="13">
        <f t="shared" si="172"/>
        <v>0</v>
      </c>
      <c r="AL269" s="13">
        <f t="shared" si="173"/>
        <v>0</v>
      </c>
      <c r="AN269" s="13">
        <v>21</v>
      </c>
      <c r="AO269" s="13">
        <f>J269*1</f>
        <v>0</v>
      </c>
      <c r="AP269" s="13">
        <f>J269*(1-1)</f>
        <v>0</v>
      </c>
      <c r="AQ269" s="32" t="s">
        <v>1231</v>
      </c>
      <c r="AV269" s="13">
        <f t="shared" si="174"/>
        <v>0</v>
      </c>
      <c r="AW269" s="13">
        <f t="shared" si="175"/>
        <v>0</v>
      </c>
      <c r="AX269" s="13">
        <f t="shared" si="176"/>
        <v>0</v>
      </c>
      <c r="AY269" s="32" t="s">
        <v>98</v>
      </c>
      <c r="AZ269" s="32" t="s">
        <v>865</v>
      </c>
      <c r="BA269" s="21" t="s">
        <v>902</v>
      </c>
      <c r="BC269" s="13">
        <f t="shared" si="177"/>
        <v>0</v>
      </c>
      <c r="BD269" s="13">
        <f t="shared" si="178"/>
        <v>0</v>
      </c>
      <c r="BE269" s="13">
        <v>0</v>
      </c>
      <c r="BF269" s="13">
        <f>269</f>
        <v>269</v>
      </c>
      <c r="BH269" s="13">
        <f t="shared" si="179"/>
        <v>0</v>
      </c>
      <c r="BI269" s="13">
        <f t="shared" si="180"/>
        <v>0</v>
      </c>
      <c r="BJ269" s="13">
        <f t="shared" si="181"/>
        <v>0</v>
      </c>
      <c r="BK269" s="13"/>
      <c r="BL269" s="13">
        <v>89</v>
      </c>
    </row>
    <row r="270" spans="1:64" ht="15" customHeight="1">
      <c r="A270" s="11" t="s">
        <v>401</v>
      </c>
      <c r="B270" s="48" t="s">
        <v>242</v>
      </c>
      <c r="C270" s="48" t="s">
        <v>556</v>
      </c>
      <c r="D270" s="61" t="s">
        <v>196</v>
      </c>
      <c r="E270" s="61"/>
      <c r="F270" s="61"/>
      <c r="G270" s="61"/>
      <c r="H270" s="48" t="s">
        <v>299</v>
      </c>
      <c r="I270" s="13">
        <v>6</v>
      </c>
      <c r="J270" s="13">
        <v>0</v>
      </c>
      <c r="K270" s="13">
        <f t="shared" si="160"/>
        <v>0</v>
      </c>
      <c r="L270" s="13">
        <f t="shared" si="161"/>
        <v>0</v>
      </c>
      <c r="M270" s="13">
        <f t="shared" si="162"/>
        <v>0</v>
      </c>
      <c r="N270" s="13">
        <v>0</v>
      </c>
      <c r="O270" s="10" t="s">
        <v>851</v>
      </c>
      <c r="Z270" s="13">
        <f t="shared" si="163"/>
        <v>0</v>
      </c>
      <c r="AB270" s="13">
        <f t="shared" si="164"/>
        <v>0</v>
      </c>
      <c r="AC270" s="13">
        <f t="shared" si="165"/>
        <v>0</v>
      </c>
      <c r="AD270" s="13">
        <f t="shared" si="166"/>
        <v>0</v>
      </c>
      <c r="AE270" s="13">
        <f t="shared" si="167"/>
        <v>0</v>
      </c>
      <c r="AF270" s="13">
        <f t="shared" si="168"/>
        <v>0</v>
      </c>
      <c r="AG270" s="13">
        <f t="shared" si="169"/>
        <v>0</v>
      </c>
      <c r="AH270" s="13">
        <f t="shared" si="170"/>
        <v>0</v>
      </c>
      <c r="AI270" s="21" t="s">
        <v>242</v>
      </c>
      <c r="AJ270" s="13">
        <f t="shared" si="171"/>
        <v>0</v>
      </c>
      <c r="AK270" s="13">
        <f t="shared" si="172"/>
        <v>0</v>
      </c>
      <c r="AL270" s="13">
        <f t="shared" si="173"/>
        <v>0</v>
      </c>
      <c r="AN270" s="13">
        <v>21</v>
      </c>
      <c r="AO270" s="13">
        <f>J270*0</f>
        <v>0</v>
      </c>
      <c r="AP270" s="13">
        <f>J270*(1-0)</f>
        <v>0</v>
      </c>
      <c r="AQ270" s="32" t="s">
        <v>1231</v>
      </c>
      <c r="AV270" s="13">
        <f t="shared" si="174"/>
        <v>0</v>
      </c>
      <c r="AW270" s="13">
        <f t="shared" si="175"/>
        <v>0</v>
      </c>
      <c r="AX270" s="13">
        <f t="shared" si="176"/>
        <v>0</v>
      </c>
      <c r="AY270" s="32" t="s">
        <v>98</v>
      </c>
      <c r="AZ270" s="32" t="s">
        <v>865</v>
      </c>
      <c r="BA270" s="21" t="s">
        <v>902</v>
      </c>
      <c r="BC270" s="13">
        <f t="shared" si="177"/>
        <v>0</v>
      </c>
      <c r="BD270" s="13">
        <f t="shared" si="178"/>
        <v>0</v>
      </c>
      <c r="BE270" s="13">
        <v>0</v>
      </c>
      <c r="BF270" s="13">
        <f>270</f>
        <v>270</v>
      </c>
      <c r="BH270" s="13">
        <f t="shared" si="179"/>
        <v>0</v>
      </c>
      <c r="BI270" s="13">
        <f t="shared" si="180"/>
        <v>0</v>
      </c>
      <c r="BJ270" s="13">
        <f t="shared" si="181"/>
        <v>0</v>
      </c>
      <c r="BK270" s="13"/>
      <c r="BL270" s="13">
        <v>89</v>
      </c>
    </row>
    <row r="271" spans="1:64" ht="15" customHeight="1">
      <c r="A271" s="11" t="s">
        <v>1295</v>
      </c>
      <c r="B271" s="48" t="s">
        <v>242</v>
      </c>
      <c r="C271" s="48" t="s">
        <v>160</v>
      </c>
      <c r="D271" s="61" t="s">
        <v>127</v>
      </c>
      <c r="E271" s="61"/>
      <c r="F271" s="61"/>
      <c r="G271" s="61"/>
      <c r="H271" s="48" t="s">
        <v>299</v>
      </c>
      <c r="I271" s="13">
        <v>6</v>
      </c>
      <c r="J271" s="13">
        <v>0</v>
      </c>
      <c r="K271" s="13">
        <f t="shared" si="160"/>
        <v>0</v>
      </c>
      <c r="L271" s="13">
        <f t="shared" si="161"/>
        <v>0</v>
      </c>
      <c r="M271" s="13">
        <f t="shared" si="162"/>
        <v>0</v>
      </c>
      <c r="N271" s="13">
        <v>3.3</v>
      </c>
      <c r="O271" s="10" t="s">
        <v>851</v>
      </c>
      <c r="Z271" s="13">
        <f t="shared" si="163"/>
        <v>0</v>
      </c>
      <c r="AB271" s="13">
        <f t="shared" si="164"/>
        <v>0</v>
      </c>
      <c r="AC271" s="13">
        <f t="shared" si="165"/>
        <v>0</v>
      </c>
      <c r="AD271" s="13">
        <f t="shared" si="166"/>
        <v>0</v>
      </c>
      <c r="AE271" s="13">
        <f t="shared" si="167"/>
        <v>0</v>
      </c>
      <c r="AF271" s="13">
        <f t="shared" si="168"/>
        <v>0</v>
      </c>
      <c r="AG271" s="13">
        <f t="shared" si="169"/>
        <v>0</v>
      </c>
      <c r="AH271" s="13">
        <f t="shared" si="170"/>
        <v>0</v>
      </c>
      <c r="AI271" s="21" t="s">
        <v>242</v>
      </c>
      <c r="AJ271" s="13">
        <f t="shared" si="171"/>
        <v>0</v>
      </c>
      <c r="AK271" s="13">
        <f t="shared" si="172"/>
        <v>0</v>
      </c>
      <c r="AL271" s="13">
        <f t="shared" si="173"/>
        <v>0</v>
      </c>
      <c r="AN271" s="13">
        <v>21</v>
      </c>
      <c r="AO271" s="13">
        <f>J271*1</f>
        <v>0</v>
      </c>
      <c r="AP271" s="13">
        <f>J271*(1-1)</f>
        <v>0</v>
      </c>
      <c r="AQ271" s="32" t="s">
        <v>1231</v>
      </c>
      <c r="AV271" s="13">
        <f t="shared" si="174"/>
        <v>0</v>
      </c>
      <c r="AW271" s="13">
        <f t="shared" si="175"/>
        <v>0</v>
      </c>
      <c r="AX271" s="13">
        <f t="shared" si="176"/>
        <v>0</v>
      </c>
      <c r="AY271" s="32" t="s">
        <v>98</v>
      </c>
      <c r="AZ271" s="32" t="s">
        <v>865</v>
      </c>
      <c r="BA271" s="21" t="s">
        <v>902</v>
      </c>
      <c r="BC271" s="13">
        <f t="shared" si="177"/>
        <v>0</v>
      </c>
      <c r="BD271" s="13">
        <f t="shared" si="178"/>
        <v>0</v>
      </c>
      <c r="BE271" s="13">
        <v>0</v>
      </c>
      <c r="BF271" s="13">
        <f>271</f>
        <v>271</v>
      </c>
      <c r="BH271" s="13">
        <f t="shared" si="179"/>
        <v>0</v>
      </c>
      <c r="BI271" s="13">
        <f t="shared" si="180"/>
        <v>0</v>
      </c>
      <c r="BJ271" s="13">
        <f t="shared" si="181"/>
        <v>0</v>
      </c>
      <c r="BK271" s="13"/>
      <c r="BL271" s="13">
        <v>89</v>
      </c>
    </row>
    <row r="272" spans="1:64" ht="15" customHeight="1">
      <c r="A272" s="11" t="s">
        <v>700</v>
      </c>
      <c r="B272" s="48" t="s">
        <v>242</v>
      </c>
      <c r="C272" s="48" t="s">
        <v>1189</v>
      </c>
      <c r="D272" s="61" t="s">
        <v>498</v>
      </c>
      <c r="E272" s="61"/>
      <c r="F272" s="61"/>
      <c r="G272" s="61"/>
      <c r="H272" s="48" t="s">
        <v>299</v>
      </c>
      <c r="I272" s="13">
        <v>70</v>
      </c>
      <c r="J272" s="13">
        <v>0</v>
      </c>
      <c r="K272" s="13">
        <f t="shared" si="160"/>
        <v>0</v>
      </c>
      <c r="L272" s="13">
        <f t="shared" si="161"/>
        <v>0</v>
      </c>
      <c r="M272" s="13">
        <f t="shared" si="162"/>
        <v>0</v>
      </c>
      <c r="N272" s="13">
        <v>0</v>
      </c>
      <c r="O272" s="10" t="s">
        <v>851</v>
      </c>
      <c r="Z272" s="13">
        <f t="shared" si="163"/>
        <v>0</v>
      </c>
      <c r="AB272" s="13">
        <f t="shared" si="164"/>
        <v>0</v>
      </c>
      <c r="AC272" s="13">
        <f t="shared" si="165"/>
        <v>0</v>
      </c>
      <c r="AD272" s="13">
        <f t="shared" si="166"/>
        <v>0</v>
      </c>
      <c r="AE272" s="13">
        <f t="shared" si="167"/>
        <v>0</v>
      </c>
      <c r="AF272" s="13">
        <f t="shared" si="168"/>
        <v>0</v>
      </c>
      <c r="AG272" s="13">
        <f t="shared" si="169"/>
        <v>0</v>
      </c>
      <c r="AH272" s="13">
        <f t="shared" si="170"/>
        <v>0</v>
      </c>
      <c r="AI272" s="21" t="s">
        <v>242</v>
      </c>
      <c r="AJ272" s="13">
        <f t="shared" si="171"/>
        <v>0</v>
      </c>
      <c r="AK272" s="13">
        <f t="shared" si="172"/>
        <v>0</v>
      </c>
      <c r="AL272" s="13">
        <f t="shared" si="173"/>
        <v>0</v>
      </c>
      <c r="AN272" s="13">
        <v>21</v>
      </c>
      <c r="AO272" s="13">
        <f>J272*0</f>
        <v>0</v>
      </c>
      <c r="AP272" s="13">
        <f>J272*(1-0)</f>
        <v>0</v>
      </c>
      <c r="AQ272" s="32" t="s">
        <v>1231</v>
      </c>
      <c r="AV272" s="13">
        <f t="shared" si="174"/>
        <v>0</v>
      </c>
      <c r="AW272" s="13">
        <f t="shared" si="175"/>
        <v>0</v>
      </c>
      <c r="AX272" s="13">
        <f t="shared" si="176"/>
        <v>0</v>
      </c>
      <c r="AY272" s="32" t="s">
        <v>98</v>
      </c>
      <c r="AZ272" s="32" t="s">
        <v>865</v>
      </c>
      <c r="BA272" s="21" t="s">
        <v>902</v>
      </c>
      <c r="BC272" s="13">
        <f t="shared" si="177"/>
        <v>0</v>
      </c>
      <c r="BD272" s="13">
        <f t="shared" si="178"/>
        <v>0</v>
      </c>
      <c r="BE272" s="13">
        <v>0</v>
      </c>
      <c r="BF272" s="13">
        <f>272</f>
        <v>272</v>
      </c>
      <c r="BH272" s="13">
        <f t="shared" si="179"/>
        <v>0</v>
      </c>
      <c r="BI272" s="13">
        <f t="shared" si="180"/>
        <v>0</v>
      </c>
      <c r="BJ272" s="13">
        <f t="shared" si="181"/>
        <v>0</v>
      </c>
      <c r="BK272" s="13"/>
      <c r="BL272" s="13">
        <v>89</v>
      </c>
    </row>
    <row r="273" spans="1:64" ht="15" customHeight="1">
      <c r="A273" s="11" t="s">
        <v>661</v>
      </c>
      <c r="B273" s="48" t="s">
        <v>242</v>
      </c>
      <c r="C273" s="48" t="s">
        <v>659</v>
      </c>
      <c r="D273" s="61" t="s">
        <v>803</v>
      </c>
      <c r="E273" s="61"/>
      <c r="F273" s="61"/>
      <c r="G273" s="61"/>
      <c r="H273" s="48" t="s">
        <v>299</v>
      </c>
      <c r="I273" s="13">
        <v>8</v>
      </c>
      <c r="J273" s="13">
        <v>0</v>
      </c>
      <c r="K273" s="13">
        <f t="shared" si="160"/>
        <v>0</v>
      </c>
      <c r="L273" s="13">
        <f t="shared" si="161"/>
        <v>0</v>
      </c>
      <c r="M273" s="13">
        <f t="shared" si="162"/>
        <v>0</v>
      </c>
      <c r="N273" s="13">
        <v>0</v>
      </c>
      <c r="O273" s="10" t="s">
        <v>851</v>
      </c>
      <c r="Z273" s="13">
        <f t="shared" si="163"/>
        <v>0</v>
      </c>
      <c r="AB273" s="13">
        <f t="shared" si="164"/>
        <v>0</v>
      </c>
      <c r="AC273" s="13">
        <f t="shared" si="165"/>
        <v>0</v>
      </c>
      <c r="AD273" s="13">
        <f t="shared" si="166"/>
        <v>0</v>
      </c>
      <c r="AE273" s="13">
        <f t="shared" si="167"/>
        <v>0</v>
      </c>
      <c r="AF273" s="13">
        <f t="shared" si="168"/>
        <v>0</v>
      </c>
      <c r="AG273" s="13">
        <f t="shared" si="169"/>
        <v>0</v>
      </c>
      <c r="AH273" s="13">
        <f t="shared" si="170"/>
        <v>0</v>
      </c>
      <c r="AI273" s="21" t="s">
        <v>242</v>
      </c>
      <c r="AJ273" s="13">
        <f t="shared" si="171"/>
        <v>0</v>
      </c>
      <c r="AK273" s="13">
        <f t="shared" si="172"/>
        <v>0</v>
      </c>
      <c r="AL273" s="13">
        <f t="shared" si="173"/>
        <v>0</v>
      </c>
      <c r="AN273" s="13">
        <v>21</v>
      </c>
      <c r="AO273" s="13">
        <f aca="true" t="shared" si="182" ref="AO273:AO279">J273*1</f>
        <v>0</v>
      </c>
      <c r="AP273" s="13">
        <f aca="true" t="shared" si="183" ref="AP273:AP279">J273*(1-1)</f>
        <v>0</v>
      </c>
      <c r="AQ273" s="32" t="s">
        <v>1231</v>
      </c>
      <c r="AV273" s="13">
        <f t="shared" si="174"/>
        <v>0</v>
      </c>
      <c r="AW273" s="13">
        <f t="shared" si="175"/>
        <v>0</v>
      </c>
      <c r="AX273" s="13">
        <f t="shared" si="176"/>
        <v>0</v>
      </c>
      <c r="AY273" s="32" t="s">
        <v>98</v>
      </c>
      <c r="AZ273" s="32" t="s">
        <v>865</v>
      </c>
      <c r="BA273" s="21" t="s">
        <v>902</v>
      </c>
      <c r="BC273" s="13">
        <f t="shared" si="177"/>
        <v>0</v>
      </c>
      <c r="BD273" s="13">
        <f t="shared" si="178"/>
        <v>0</v>
      </c>
      <c r="BE273" s="13">
        <v>0</v>
      </c>
      <c r="BF273" s="13">
        <f>273</f>
        <v>273</v>
      </c>
      <c r="BH273" s="13">
        <f t="shared" si="179"/>
        <v>0</v>
      </c>
      <c r="BI273" s="13">
        <f t="shared" si="180"/>
        <v>0</v>
      </c>
      <c r="BJ273" s="13">
        <f t="shared" si="181"/>
        <v>0</v>
      </c>
      <c r="BK273" s="13"/>
      <c r="BL273" s="13">
        <v>89</v>
      </c>
    </row>
    <row r="274" spans="1:64" ht="15" customHeight="1">
      <c r="A274" s="11" t="s">
        <v>1044</v>
      </c>
      <c r="B274" s="48" t="s">
        <v>242</v>
      </c>
      <c r="C274" s="48" t="s">
        <v>1123</v>
      </c>
      <c r="D274" s="61" t="s">
        <v>90</v>
      </c>
      <c r="E274" s="61"/>
      <c r="F274" s="61"/>
      <c r="G274" s="61"/>
      <c r="H274" s="48" t="s">
        <v>299</v>
      </c>
      <c r="I274" s="13">
        <v>38</v>
      </c>
      <c r="J274" s="13">
        <v>0</v>
      </c>
      <c r="K274" s="13">
        <f t="shared" si="160"/>
        <v>0</v>
      </c>
      <c r="L274" s="13">
        <f t="shared" si="161"/>
        <v>0</v>
      </c>
      <c r="M274" s="13">
        <f t="shared" si="162"/>
        <v>0</v>
      </c>
      <c r="N274" s="13">
        <v>0.5</v>
      </c>
      <c r="O274" s="10" t="s">
        <v>851</v>
      </c>
      <c r="Z274" s="13">
        <f t="shared" si="163"/>
        <v>0</v>
      </c>
      <c r="AB274" s="13">
        <f t="shared" si="164"/>
        <v>0</v>
      </c>
      <c r="AC274" s="13">
        <f t="shared" si="165"/>
        <v>0</v>
      </c>
      <c r="AD274" s="13">
        <f t="shared" si="166"/>
        <v>0</v>
      </c>
      <c r="AE274" s="13">
        <f t="shared" si="167"/>
        <v>0</v>
      </c>
      <c r="AF274" s="13">
        <f t="shared" si="168"/>
        <v>0</v>
      </c>
      <c r="AG274" s="13">
        <f t="shared" si="169"/>
        <v>0</v>
      </c>
      <c r="AH274" s="13">
        <f t="shared" si="170"/>
        <v>0</v>
      </c>
      <c r="AI274" s="21" t="s">
        <v>242</v>
      </c>
      <c r="AJ274" s="13">
        <f t="shared" si="171"/>
        <v>0</v>
      </c>
      <c r="AK274" s="13">
        <f t="shared" si="172"/>
        <v>0</v>
      </c>
      <c r="AL274" s="13">
        <f t="shared" si="173"/>
        <v>0</v>
      </c>
      <c r="AN274" s="13">
        <v>21</v>
      </c>
      <c r="AO274" s="13">
        <f t="shared" si="182"/>
        <v>0</v>
      </c>
      <c r="AP274" s="13">
        <f t="shared" si="183"/>
        <v>0</v>
      </c>
      <c r="AQ274" s="32" t="s">
        <v>1231</v>
      </c>
      <c r="AV274" s="13">
        <f t="shared" si="174"/>
        <v>0</v>
      </c>
      <c r="AW274" s="13">
        <f t="shared" si="175"/>
        <v>0</v>
      </c>
      <c r="AX274" s="13">
        <f t="shared" si="176"/>
        <v>0</v>
      </c>
      <c r="AY274" s="32" t="s">
        <v>98</v>
      </c>
      <c r="AZ274" s="32" t="s">
        <v>865</v>
      </c>
      <c r="BA274" s="21" t="s">
        <v>902</v>
      </c>
      <c r="BC274" s="13">
        <f t="shared" si="177"/>
        <v>0</v>
      </c>
      <c r="BD274" s="13">
        <f t="shared" si="178"/>
        <v>0</v>
      </c>
      <c r="BE274" s="13">
        <v>0</v>
      </c>
      <c r="BF274" s="13">
        <f>274</f>
        <v>274</v>
      </c>
      <c r="BH274" s="13">
        <f t="shared" si="179"/>
        <v>0</v>
      </c>
      <c r="BI274" s="13">
        <f t="shared" si="180"/>
        <v>0</v>
      </c>
      <c r="BJ274" s="13">
        <f t="shared" si="181"/>
        <v>0</v>
      </c>
      <c r="BK274" s="13"/>
      <c r="BL274" s="13">
        <v>89</v>
      </c>
    </row>
    <row r="275" spans="1:64" ht="15" customHeight="1">
      <c r="A275" s="11" t="s">
        <v>1147</v>
      </c>
      <c r="B275" s="48" t="s">
        <v>242</v>
      </c>
      <c r="C275" s="48" t="s">
        <v>667</v>
      </c>
      <c r="D275" s="61" t="s">
        <v>1063</v>
      </c>
      <c r="E275" s="61"/>
      <c r="F275" s="61"/>
      <c r="G275" s="61"/>
      <c r="H275" s="48" t="s">
        <v>299</v>
      </c>
      <c r="I275" s="13">
        <v>2</v>
      </c>
      <c r="J275" s="13">
        <v>0</v>
      </c>
      <c r="K275" s="13">
        <f t="shared" si="160"/>
        <v>0</v>
      </c>
      <c r="L275" s="13">
        <f t="shared" si="161"/>
        <v>0</v>
      </c>
      <c r="M275" s="13">
        <f t="shared" si="162"/>
        <v>0</v>
      </c>
      <c r="N275" s="13">
        <v>0.028</v>
      </c>
      <c r="O275" s="10" t="s">
        <v>851</v>
      </c>
      <c r="Z275" s="13">
        <f t="shared" si="163"/>
        <v>0</v>
      </c>
      <c r="AB275" s="13">
        <f t="shared" si="164"/>
        <v>0</v>
      </c>
      <c r="AC275" s="13">
        <f t="shared" si="165"/>
        <v>0</v>
      </c>
      <c r="AD275" s="13">
        <f t="shared" si="166"/>
        <v>0</v>
      </c>
      <c r="AE275" s="13">
        <f t="shared" si="167"/>
        <v>0</v>
      </c>
      <c r="AF275" s="13">
        <f t="shared" si="168"/>
        <v>0</v>
      </c>
      <c r="AG275" s="13">
        <f t="shared" si="169"/>
        <v>0</v>
      </c>
      <c r="AH275" s="13">
        <f t="shared" si="170"/>
        <v>0</v>
      </c>
      <c r="AI275" s="21" t="s">
        <v>242</v>
      </c>
      <c r="AJ275" s="13">
        <f t="shared" si="171"/>
        <v>0</v>
      </c>
      <c r="AK275" s="13">
        <f t="shared" si="172"/>
        <v>0</v>
      </c>
      <c r="AL275" s="13">
        <f t="shared" si="173"/>
        <v>0</v>
      </c>
      <c r="AN275" s="13">
        <v>21</v>
      </c>
      <c r="AO275" s="13">
        <f t="shared" si="182"/>
        <v>0</v>
      </c>
      <c r="AP275" s="13">
        <f t="shared" si="183"/>
        <v>0</v>
      </c>
      <c r="AQ275" s="32" t="s">
        <v>1231</v>
      </c>
      <c r="AV275" s="13">
        <f t="shared" si="174"/>
        <v>0</v>
      </c>
      <c r="AW275" s="13">
        <f t="shared" si="175"/>
        <v>0</v>
      </c>
      <c r="AX275" s="13">
        <f t="shared" si="176"/>
        <v>0</v>
      </c>
      <c r="AY275" s="32" t="s">
        <v>98</v>
      </c>
      <c r="AZ275" s="32" t="s">
        <v>865</v>
      </c>
      <c r="BA275" s="21" t="s">
        <v>902</v>
      </c>
      <c r="BC275" s="13">
        <f t="shared" si="177"/>
        <v>0</v>
      </c>
      <c r="BD275" s="13">
        <f t="shared" si="178"/>
        <v>0</v>
      </c>
      <c r="BE275" s="13">
        <v>0</v>
      </c>
      <c r="BF275" s="13">
        <f>275</f>
        <v>275</v>
      </c>
      <c r="BH275" s="13">
        <f t="shared" si="179"/>
        <v>0</v>
      </c>
      <c r="BI275" s="13">
        <f t="shared" si="180"/>
        <v>0</v>
      </c>
      <c r="BJ275" s="13">
        <f t="shared" si="181"/>
        <v>0</v>
      </c>
      <c r="BK275" s="13"/>
      <c r="BL275" s="13">
        <v>89</v>
      </c>
    </row>
    <row r="276" spans="1:64" ht="15" customHeight="1">
      <c r="A276" s="11" t="s">
        <v>1232</v>
      </c>
      <c r="B276" s="48" t="s">
        <v>242</v>
      </c>
      <c r="C276" s="48" t="s">
        <v>905</v>
      </c>
      <c r="D276" s="61" t="s">
        <v>1161</v>
      </c>
      <c r="E276" s="61"/>
      <c r="F276" s="61"/>
      <c r="G276" s="61"/>
      <c r="H276" s="48" t="s">
        <v>299</v>
      </c>
      <c r="I276" s="13">
        <v>2</v>
      </c>
      <c r="J276" s="13">
        <v>0</v>
      </c>
      <c r="K276" s="13">
        <f t="shared" si="160"/>
        <v>0</v>
      </c>
      <c r="L276" s="13">
        <f t="shared" si="161"/>
        <v>0</v>
      </c>
      <c r="M276" s="13">
        <f t="shared" si="162"/>
        <v>0</v>
      </c>
      <c r="N276" s="13">
        <v>0.04</v>
      </c>
      <c r="O276" s="10" t="s">
        <v>851</v>
      </c>
      <c r="Z276" s="13">
        <f t="shared" si="163"/>
        <v>0</v>
      </c>
      <c r="AB276" s="13">
        <f t="shared" si="164"/>
        <v>0</v>
      </c>
      <c r="AC276" s="13">
        <f t="shared" si="165"/>
        <v>0</v>
      </c>
      <c r="AD276" s="13">
        <f t="shared" si="166"/>
        <v>0</v>
      </c>
      <c r="AE276" s="13">
        <f t="shared" si="167"/>
        <v>0</v>
      </c>
      <c r="AF276" s="13">
        <f t="shared" si="168"/>
        <v>0</v>
      </c>
      <c r="AG276" s="13">
        <f t="shared" si="169"/>
        <v>0</v>
      </c>
      <c r="AH276" s="13">
        <f t="shared" si="170"/>
        <v>0</v>
      </c>
      <c r="AI276" s="21" t="s">
        <v>242</v>
      </c>
      <c r="AJ276" s="13">
        <f t="shared" si="171"/>
        <v>0</v>
      </c>
      <c r="AK276" s="13">
        <f t="shared" si="172"/>
        <v>0</v>
      </c>
      <c r="AL276" s="13">
        <f t="shared" si="173"/>
        <v>0</v>
      </c>
      <c r="AN276" s="13">
        <v>21</v>
      </c>
      <c r="AO276" s="13">
        <f t="shared" si="182"/>
        <v>0</v>
      </c>
      <c r="AP276" s="13">
        <f t="shared" si="183"/>
        <v>0</v>
      </c>
      <c r="AQ276" s="32" t="s">
        <v>1231</v>
      </c>
      <c r="AV276" s="13">
        <f t="shared" si="174"/>
        <v>0</v>
      </c>
      <c r="AW276" s="13">
        <f t="shared" si="175"/>
        <v>0</v>
      </c>
      <c r="AX276" s="13">
        <f t="shared" si="176"/>
        <v>0</v>
      </c>
      <c r="AY276" s="32" t="s">
        <v>98</v>
      </c>
      <c r="AZ276" s="32" t="s">
        <v>865</v>
      </c>
      <c r="BA276" s="21" t="s">
        <v>902</v>
      </c>
      <c r="BC276" s="13">
        <f t="shared" si="177"/>
        <v>0</v>
      </c>
      <c r="BD276" s="13">
        <f t="shared" si="178"/>
        <v>0</v>
      </c>
      <c r="BE276" s="13">
        <v>0</v>
      </c>
      <c r="BF276" s="13">
        <f>276</f>
        <v>276</v>
      </c>
      <c r="BH276" s="13">
        <f t="shared" si="179"/>
        <v>0</v>
      </c>
      <c r="BI276" s="13">
        <f t="shared" si="180"/>
        <v>0</v>
      </c>
      <c r="BJ276" s="13">
        <f t="shared" si="181"/>
        <v>0</v>
      </c>
      <c r="BK276" s="13"/>
      <c r="BL276" s="13">
        <v>89</v>
      </c>
    </row>
    <row r="277" spans="1:64" ht="15" customHeight="1">
      <c r="A277" s="11" t="s">
        <v>844</v>
      </c>
      <c r="B277" s="48" t="s">
        <v>242</v>
      </c>
      <c r="C277" s="48" t="s">
        <v>1175</v>
      </c>
      <c r="D277" s="61" t="s">
        <v>624</v>
      </c>
      <c r="E277" s="61"/>
      <c r="F277" s="61"/>
      <c r="G277" s="61"/>
      <c r="H277" s="48" t="s">
        <v>299</v>
      </c>
      <c r="I277" s="13">
        <v>2</v>
      </c>
      <c r="J277" s="13">
        <v>0</v>
      </c>
      <c r="K277" s="13">
        <f t="shared" si="160"/>
        <v>0</v>
      </c>
      <c r="L277" s="13">
        <f t="shared" si="161"/>
        <v>0</v>
      </c>
      <c r="M277" s="13">
        <f t="shared" si="162"/>
        <v>0</v>
      </c>
      <c r="N277" s="13">
        <v>0</v>
      </c>
      <c r="O277" s="10" t="s">
        <v>851</v>
      </c>
      <c r="Z277" s="13">
        <f t="shared" si="163"/>
        <v>0</v>
      </c>
      <c r="AB277" s="13">
        <f t="shared" si="164"/>
        <v>0</v>
      </c>
      <c r="AC277" s="13">
        <f t="shared" si="165"/>
        <v>0</v>
      </c>
      <c r="AD277" s="13">
        <f t="shared" si="166"/>
        <v>0</v>
      </c>
      <c r="AE277" s="13">
        <f t="shared" si="167"/>
        <v>0</v>
      </c>
      <c r="AF277" s="13">
        <f t="shared" si="168"/>
        <v>0</v>
      </c>
      <c r="AG277" s="13">
        <f t="shared" si="169"/>
        <v>0</v>
      </c>
      <c r="AH277" s="13">
        <f t="shared" si="170"/>
        <v>0</v>
      </c>
      <c r="AI277" s="21" t="s">
        <v>242</v>
      </c>
      <c r="AJ277" s="13">
        <f t="shared" si="171"/>
        <v>0</v>
      </c>
      <c r="AK277" s="13">
        <f t="shared" si="172"/>
        <v>0</v>
      </c>
      <c r="AL277" s="13">
        <f t="shared" si="173"/>
        <v>0</v>
      </c>
      <c r="AN277" s="13">
        <v>21</v>
      </c>
      <c r="AO277" s="13">
        <f t="shared" si="182"/>
        <v>0</v>
      </c>
      <c r="AP277" s="13">
        <f t="shared" si="183"/>
        <v>0</v>
      </c>
      <c r="AQ277" s="32" t="s">
        <v>1231</v>
      </c>
      <c r="AV277" s="13">
        <f t="shared" si="174"/>
        <v>0</v>
      </c>
      <c r="AW277" s="13">
        <f t="shared" si="175"/>
        <v>0</v>
      </c>
      <c r="AX277" s="13">
        <f t="shared" si="176"/>
        <v>0</v>
      </c>
      <c r="AY277" s="32" t="s">
        <v>98</v>
      </c>
      <c r="AZ277" s="32" t="s">
        <v>865</v>
      </c>
      <c r="BA277" s="21" t="s">
        <v>902</v>
      </c>
      <c r="BC277" s="13">
        <f t="shared" si="177"/>
        <v>0</v>
      </c>
      <c r="BD277" s="13">
        <f t="shared" si="178"/>
        <v>0</v>
      </c>
      <c r="BE277" s="13">
        <v>0</v>
      </c>
      <c r="BF277" s="13">
        <f>277</f>
        <v>277</v>
      </c>
      <c r="BH277" s="13">
        <f t="shared" si="179"/>
        <v>0</v>
      </c>
      <c r="BI277" s="13">
        <f t="shared" si="180"/>
        <v>0</v>
      </c>
      <c r="BJ277" s="13">
        <f t="shared" si="181"/>
        <v>0</v>
      </c>
      <c r="BK277" s="13"/>
      <c r="BL277" s="13">
        <v>89</v>
      </c>
    </row>
    <row r="278" spans="1:64" ht="15" customHeight="1">
      <c r="A278" s="11" t="s">
        <v>1108</v>
      </c>
      <c r="B278" s="48" t="s">
        <v>242</v>
      </c>
      <c r="C278" s="48" t="s">
        <v>1229</v>
      </c>
      <c r="D278" s="61" t="s">
        <v>252</v>
      </c>
      <c r="E278" s="61"/>
      <c r="F278" s="61"/>
      <c r="G278" s="61"/>
      <c r="H278" s="48" t="s">
        <v>299</v>
      </c>
      <c r="I278" s="13">
        <v>10</v>
      </c>
      <c r="J278" s="13">
        <v>0</v>
      </c>
      <c r="K278" s="13">
        <f t="shared" si="160"/>
        <v>0</v>
      </c>
      <c r="L278" s="13">
        <f t="shared" si="161"/>
        <v>0</v>
      </c>
      <c r="M278" s="13">
        <f t="shared" si="162"/>
        <v>0</v>
      </c>
      <c r="N278" s="13">
        <v>0.068</v>
      </c>
      <c r="O278" s="10" t="s">
        <v>851</v>
      </c>
      <c r="Z278" s="13">
        <f t="shared" si="163"/>
        <v>0</v>
      </c>
      <c r="AB278" s="13">
        <f t="shared" si="164"/>
        <v>0</v>
      </c>
      <c r="AC278" s="13">
        <f t="shared" si="165"/>
        <v>0</v>
      </c>
      <c r="AD278" s="13">
        <f t="shared" si="166"/>
        <v>0</v>
      </c>
      <c r="AE278" s="13">
        <f t="shared" si="167"/>
        <v>0</v>
      </c>
      <c r="AF278" s="13">
        <f t="shared" si="168"/>
        <v>0</v>
      </c>
      <c r="AG278" s="13">
        <f t="shared" si="169"/>
        <v>0</v>
      </c>
      <c r="AH278" s="13">
        <f t="shared" si="170"/>
        <v>0</v>
      </c>
      <c r="AI278" s="21" t="s">
        <v>242</v>
      </c>
      <c r="AJ278" s="13">
        <f t="shared" si="171"/>
        <v>0</v>
      </c>
      <c r="AK278" s="13">
        <f t="shared" si="172"/>
        <v>0</v>
      </c>
      <c r="AL278" s="13">
        <f t="shared" si="173"/>
        <v>0</v>
      </c>
      <c r="AN278" s="13">
        <v>21</v>
      </c>
      <c r="AO278" s="13">
        <f t="shared" si="182"/>
        <v>0</v>
      </c>
      <c r="AP278" s="13">
        <f t="shared" si="183"/>
        <v>0</v>
      </c>
      <c r="AQ278" s="32" t="s">
        <v>1231</v>
      </c>
      <c r="AV278" s="13">
        <f t="shared" si="174"/>
        <v>0</v>
      </c>
      <c r="AW278" s="13">
        <f t="shared" si="175"/>
        <v>0</v>
      </c>
      <c r="AX278" s="13">
        <f t="shared" si="176"/>
        <v>0</v>
      </c>
      <c r="AY278" s="32" t="s">
        <v>98</v>
      </c>
      <c r="AZ278" s="32" t="s">
        <v>865</v>
      </c>
      <c r="BA278" s="21" t="s">
        <v>902</v>
      </c>
      <c r="BC278" s="13">
        <f t="shared" si="177"/>
        <v>0</v>
      </c>
      <c r="BD278" s="13">
        <f t="shared" si="178"/>
        <v>0</v>
      </c>
      <c r="BE278" s="13">
        <v>0</v>
      </c>
      <c r="BF278" s="13">
        <f>278</f>
        <v>278</v>
      </c>
      <c r="BH278" s="13">
        <f t="shared" si="179"/>
        <v>0</v>
      </c>
      <c r="BI278" s="13">
        <f t="shared" si="180"/>
        <v>0</v>
      </c>
      <c r="BJ278" s="13">
        <f t="shared" si="181"/>
        <v>0</v>
      </c>
      <c r="BK278" s="13"/>
      <c r="BL278" s="13">
        <v>89</v>
      </c>
    </row>
    <row r="279" spans="1:64" ht="15" customHeight="1">
      <c r="A279" s="11" t="s">
        <v>25</v>
      </c>
      <c r="B279" s="48" t="s">
        <v>242</v>
      </c>
      <c r="C279" s="48" t="s">
        <v>45</v>
      </c>
      <c r="D279" s="61" t="s">
        <v>309</v>
      </c>
      <c r="E279" s="61"/>
      <c r="F279" s="61"/>
      <c r="G279" s="61"/>
      <c r="H279" s="48" t="s">
        <v>299</v>
      </c>
      <c r="I279" s="13">
        <v>6</v>
      </c>
      <c r="J279" s="13">
        <v>0</v>
      </c>
      <c r="K279" s="13">
        <f t="shared" si="160"/>
        <v>0</v>
      </c>
      <c r="L279" s="13">
        <f t="shared" si="161"/>
        <v>0</v>
      </c>
      <c r="M279" s="13">
        <f t="shared" si="162"/>
        <v>0</v>
      </c>
      <c r="N279" s="13">
        <v>0.081</v>
      </c>
      <c r="O279" s="10" t="s">
        <v>851</v>
      </c>
      <c r="Z279" s="13">
        <f t="shared" si="163"/>
        <v>0</v>
      </c>
      <c r="AB279" s="13">
        <f t="shared" si="164"/>
        <v>0</v>
      </c>
      <c r="AC279" s="13">
        <f t="shared" si="165"/>
        <v>0</v>
      </c>
      <c r="AD279" s="13">
        <f t="shared" si="166"/>
        <v>0</v>
      </c>
      <c r="AE279" s="13">
        <f t="shared" si="167"/>
        <v>0</v>
      </c>
      <c r="AF279" s="13">
        <f t="shared" si="168"/>
        <v>0</v>
      </c>
      <c r="AG279" s="13">
        <f t="shared" si="169"/>
        <v>0</v>
      </c>
      <c r="AH279" s="13">
        <f t="shared" si="170"/>
        <v>0</v>
      </c>
      <c r="AI279" s="21" t="s">
        <v>242</v>
      </c>
      <c r="AJ279" s="13">
        <f t="shared" si="171"/>
        <v>0</v>
      </c>
      <c r="AK279" s="13">
        <f t="shared" si="172"/>
        <v>0</v>
      </c>
      <c r="AL279" s="13">
        <f t="shared" si="173"/>
        <v>0</v>
      </c>
      <c r="AN279" s="13">
        <v>21</v>
      </c>
      <c r="AO279" s="13">
        <f t="shared" si="182"/>
        <v>0</v>
      </c>
      <c r="AP279" s="13">
        <f t="shared" si="183"/>
        <v>0</v>
      </c>
      <c r="AQ279" s="32" t="s">
        <v>1231</v>
      </c>
      <c r="AV279" s="13">
        <f t="shared" si="174"/>
        <v>0</v>
      </c>
      <c r="AW279" s="13">
        <f t="shared" si="175"/>
        <v>0</v>
      </c>
      <c r="AX279" s="13">
        <f t="shared" si="176"/>
        <v>0</v>
      </c>
      <c r="AY279" s="32" t="s">
        <v>98</v>
      </c>
      <c r="AZ279" s="32" t="s">
        <v>865</v>
      </c>
      <c r="BA279" s="21" t="s">
        <v>902</v>
      </c>
      <c r="BC279" s="13">
        <f t="shared" si="177"/>
        <v>0</v>
      </c>
      <c r="BD279" s="13">
        <f t="shared" si="178"/>
        <v>0</v>
      </c>
      <c r="BE279" s="13">
        <v>0</v>
      </c>
      <c r="BF279" s="13">
        <f>279</f>
        <v>279</v>
      </c>
      <c r="BH279" s="13">
        <f t="shared" si="179"/>
        <v>0</v>
      </c>
      <c r="BI279" s="13">
        <f t="shared" si="180"/>
        <v>0</v>
      </c>
      <c r="BJ279" s="13">
        <f t="shared" si="181"/>
        <v>0</v>
      </c>
      <c r="BK279" s="13"/>
      <c r="BL279" s="13">
        <v>89</v>
      </c>
    </row>
    <row r="280" spans="1:64" ht="15" customHeight="1">
      <c r="A280" s="11" t="s">
        <v>1307</v>
      </c>
      <c r="B280" s="48" t="s">
        <v>242</v>
      </c>
      <c r="C280" s="48" t="s">
        <v>107</v>
      </c>
      <c r="D280" s="61" t="s">
        <v>965</v>
      </c>
      <c r="E280" s="61"/>
      <c r="F280" s="61"/>
      <c r="G280" s="61"/>
      <c r="H280" s="48" t="s">
        <v>299</v>
      </c>
      <c r="I280" s="13">
        <v>22</v>
      </c>
      <c r="J280" s="13">
        <v>0</v>
      </c>
      <c r="K280" s="13">
        <f t="shared" si="160"/>
        <v>0</v>
      </c>
      <c r="L280" s="13">
        <f t="shared" si="161"/>
        <v>0</v>
      </c>
      <c r="M280" s="13">
        <f t="shared" si="162"/>
        <v>0</v>
      </c>
      <c r="N280" s="13">
        <v>0</v>
      </c>
      <c r="O280" s="10" t="s">
        <v>851</v>
      </c>
      <c r="Z280" s="13">
        <f t="shared" si="163"/>
        <v>0</v>
      </c>
      <c r="AB280" s="13">
        <f t="shared" si="164"/>
        <v>0</v>
      </c>
      <c r="AC280" s="13">
        <f t="shared" si="165"/>
        <v>0</v>
      </c>
      <c r="AD280" s="13">
        <f t="shared" si="166"/>
        <v>0</v>
      </c>
      <c r="AE280" s="13">
        <f t="shared" si="167"/>
        <v>0</v>
      </c>
      <c r="AF280" s="13">
        <f t="shared" si="168"/>
        <v>0</v>
      </c>
      <c r="AG280" s="13">
        <f t="shared" si="169"/>
        <v>0</v>
      </c>
      <c r="AH280" s="13">
        <f t="shared" si="170"/>
        <v>0</v>
      </c>
      <c r="AI280" s="21" t="s">
        <v>242</v>
      </c>
      <c r="AJ280" s="13">
        <f t="shared" si="171"/>
        <v>0</v>
      </c>
      <c r="AK280" s="13">
        <f t="shared" si="172"/>
        <v>0</v>
      </c>
      <c r="AL280" s="13">
        <f t="shared" si="173"/>
        <v>0</v>
      </c>
      <c r="AN280" s="13">
        <v>21</v>
      </c>
      <c r="AO280" s="13">
        <f>J280*0</f>
        <v>0</v>
      </c>
      <c r="AP280" s="13">
        <f>J280*(1-0)</f>
        <v>0</v>
      </c>
      <c r="AQ280" s="32" t="s">
        <v>1231</v>
      </c>
      <c r="AV280" s="13">
        <f t="shared" si="174"/>
        <v>0</v>
      </c>
      <c r="AW280" s="13">
        <f t="shared" si="175"/>
        <v>0</v>
      </c>
      <c r="AX280" s="13">
        <f t="shared" si="176"/>
        <v>0</v>
      </c>
      <c r="AY280" s="32" t="s">
        <v>98</v>
      </c>
      <c r="AZ280" s="32" t="s">
        <v>865</v>
      </c>
      <c r="BA280" s="21" t="s">
        <v>902</v>
      </c>
      <c r="BC280" s="13">
        <f t="shared" si="177"/>
        <v>0</v>
      </c>
      <c r="BD280" s="13">
        <f t="shared" si="178"/>
        <v>0</v>
      </c>
      <c r="BE280" s="13">
        <v>0</v>
      </c>
      <c r="BF280" s="13">
        <f>280</f>
        <v>280</v>
      </c>
      <c r="BH280" s="13">
        <f t="shared" si="179"/>
        <v>0</v>
      </c>
      <c r="BI280" s="13">
        <f t="shared" si="180"/>
        <v>0</v>
      </c>
      <c r="BJ280" s="13">
        <f t="shared" si="181"/>
        <v>0</v>
      </c>
      <c r="BK280" s="13"/>
      <c r="BL280" s="13">
        <v>89</v>
      </c>
    </row>
    <row r="281" spans="1:64" ht="15" customHeight="1">
      <c r="A281" s="11" t="s">
        <v>940</v>
      </c>
      <c r="B281" s="48" t="s">
        <v>242</v>
      </c>
      <c r="C281" s="48" t="s">
        <v>580</v>
      </c>
      <c r="D281" s="61" t="s">
        <v>1075</v>
      </c>
      <c r="E281" s="61"/>
      <c r="F281" s="61"/>
      <c r="G281" s="61"/>
      <c r="H281" s="48" t="s">
        <v>299</v>
      </c>
      <c r="I281" s="13">
        <v>16</v>
      </c>
      <c r="J281" s="13">
        <v>0</v>
      </c>
      <c r="K281" s="13">
        <f t="shared" si="160"/>
        <v>0</v>
      </c>
      <c r="L281" s="13">
        <f t="shared" si="161"/>
        <v>0</v>
      </c>
      <c r="M281" s="13">
        <f t="shared" si="162"/>
        <v>0</v>
      </c>
      <c r="N281" s="13">
        <v>0</v>
      </c>
      <c r="O281" s="10" t="s">
        <v>851</v>
      </c>
      <c r="Z281" s="13">
        <f t="shared" si="163"/>
        <v>0</v>
      </c>
      <c r="AB281" s="13">
        <f t="shared" si="164"/>
        <v>0</v>
      </c>
      <c r="AC281" s="13">
        <f t="shared" si="165"/>
        <v>0</v>
      </c>
      <c r="AD281" s="13">
        <f t="shared" si="166"/>
        <v>0</v>
      </c>
      <c r="AE281" s="13">
        <f t="shared" si="167"/>
        <v>0</v>
      </c>
      <c r="AF281" s="13">
        <f t="shared" si="168"/>
        <v>0</v>
      </c>
      <c r="AG281" s="13">
        <f t="shared" si="169"/>
        <v>0</v>
      </c>
      <c r="AH281" s="13">
        <f t="shared" si="170"/>
        <v>0</v>
      </c>
      <c r="AI281" s="21" t="s">
        <v>242</v>
      </c>
      <c r="AJ281" s="13">
        <f t="shared" si="171"/>
        <v>0</v>
      </c>
      <c r="AK281" s="13">
        <f t="shared" si="172"/>
        <v>0</v>
      </c>
      <c r="AL281" s="13">
        <f t="shared" si="173"/>
        <v>0</v>
      </c>
      <c r="AN281" s="13">
        <v>21</v>
      </c>
      <c r="AO281" s="13">
        <f>J281*1</f>
        <v>0</v>
      </c>
      <c r="AP281" s="13">
        <f>J281*(1-1)</f>
        <v>0</v>
      </c>
      <c r="AQ281" s="32" t="s">
        <v>1231</v>
      </c>
      <c r="AV281" s="13">
        <f t="shared" si="174"/>
        <v>0</v>
      </c>
      <c r="AW281" s="13">
        <f t="shared" si="175"/>
        <v>0</v>
      </c>
      <c r="AX281" s="13">
        <f t="shared" si="176"/>
        <v>0</v>
      </c>
      <c r="AY281" s="32" t="s">
        <v>98</v>
      </c>
      <c r="AZ281" s="32" t="s">
        <v>865</v>
      </c>
      <c r="BA281" s="21" t="s">
        <v>902</v>
      </c>
      <c r="BC281" s="13">
        <f t="shared" si="177"/>
        <v>0</v>
      </c>
      <c r="BD281" s="13">
        <f t="shared" si="178"/>
        <v>0</v>
      </c>
      <c r="BE281" s="13">
        <v>0</v>
      </c>
      <c r="BF281" s="13">
        <f>281</f>
        <v>281</v>
      </c>
      <c r="BH281" s="13">
        <f t="shared" si="179"/>
        <v>0</v>
      </c>
      <c r="BI281" s="13">
        <f t="shared" si="180"/>
        <v>0</v>
      </c>
      <c r="BJ281" s="13">
        <f t="shared" si="181"/>
        <v>0</v>
      </c>
      <c r="BK281" s="13"/>
      <c r="BL281" s="13">
        <v>89</v>
      </c>
    </row>
    <row r="282" spans="1:64" ht="15" customHeight="1">
      <c r="A282" s="11" t="s">
        <v>716</v>
      </c>
      <c r="B282" s="48" t="s">
        <v>242</v>
      </c>
      <c r="C282" s="48" t="s">
        <v>1022</v>
      </c>
      <c r="D282" s="61" t="s">
        <v>959</v>
      </c>
      <c r="E282" s="61"/>
      <c r="F282" s="61"/>
      <c r="G282" s="61"/>
      <c r="H282" s="48" t="s">
        <v>299</v>
      </c>
      <c r="I282" s="13">
        <v>6</v>
      </c>
      <c r="J282" s="13">
        <v>0</v>
      </c>
      <c r="K282" s="13">
        <f t="shared" si="160"/>
        <v>0</v>
      </c>
      <c r="L282" s="13">
        <f t="shared" si="161"/>
        <v>0</v>
      </c>
      <c r="M282" s="13">
        <f t="shared" si="162"/>
        <v>0</v>
      </c>
      <c r="N282" s="13">
        <v>0.5</v>
      </c>
      <c r="O282" s="10" t="s">
        <v>851</v>
      </c>
      <c r="Z282" s="13">
        <f t="shared" si="163"/>
        <v>0</v>
      </c>
      <c r="AB282" s="13">
        <f t="shared" si="164"/>
        <v>0</v>
      </c>
      <c r="AC282" s="13">
        <f t="shared" si="165"/>
        <v>0</v>
      </c>
      <c r="AD282" s="13">
        <f t="shared" si="166"/>
        <v>0</v>
      </c>
      <c r="AE282" s="13">
        <f t="shared" si="167"/>
        <v>0</v>
      </c>
      <c r="AF282" s="13">
        <f t="shared" si="168"/>
        <v>0</v>
      </c>
      <c r="AG282" s="13">
        <f t="shared" si="169"/>
        <v>0</v>
      </c>
      <c r="AH282" s="13">
        <f t="shared" si="170"/>
        <v>0</v>
      </c>
      <c r="AI282" s="21" t="s">
        <v>242</v>
      </c>
      <c r="AJ282" s="13">
        <f t="shared" si="171"/>
        <v>0</v>
      </c>
      <c r="AK282" s="13">
        <f t="shared" si="172"/>
        <v>0</v>
      </c>
      <c r="AL282" s="13">
        <f t="shared" si="173"/>
        <v>0</v>
      </c>
      <c r="AN282" s="13">
        <v>21</v>
      </c>
      <c r="AO282" s="13">
        <f>J282*1</f>
        <v>0</v>
      </c>
      <c r="AP282" s="13">
        <f>J282*(1-1)</f>
        <v>0</v>
      </c>
      <c r="AQ282" s="32" t="s">
        <v>1231</v>
      </c>
      <c r="AV282" s="13">
        <f t="shared" si="174"/>
        <v>0</v>
      </c>
      <c r="AW282" s="13">
        <f t="shared" si="175"/>
        <v>0</v>
      </c>
      <c r="AX282" s="13">
        <f t="shared" si="176"/>
        <v>0</v>
      </c>
      <c r="AY282" s="32" t="s">
        <v>98</v>
      </c>
      <c r="AZ282" s="32" t="s">
        <v>865</v>
      </c>
      <c r="BA282" s="21" t="s">
        <v>902</v>
      </c>
      <c r="BC282" s="13">
        <f t="shared" si="177"/>
        <v>0</v>
      </c>
      <c r="BD282" s="13">
        <f t="shared" si="178"/>
        <v>0</v>
      </c>
      <c r="BE282" s="13">
        <v>0</v>
      </c>
      <c r="BF282" s="13">
        <f>282</f>
        <v>282</v>
      </c>
      <c r="BH282" s="13">
        <f t="shared" si="179"/>
        <v>0</v>
      </c>
      <c r="BI282" s="13">
        <f t="shared" si="180"/>
        <v>0</v>
      </c>
      <c r="BJ282" s="13">
        <f t="shared" si="181"/>
        <v>0</v>
      </c>
      <c r="BK282" s="13"/>
      <c r="BL282" s="13">
        <v>89</v>
      </c>
    </row>
    <row r="283" spans="1:64" ht="15" customHeight="1">
      <c r="A283" s="11" t="s">
        <v>1260</v>
      </c>
      <c r="B283" s="48" t="s">
        <v>242</v>
      </c>
      <c r="C283" s="48" t="s">
        <v>475</v>
      </c>
      <c r="D283" s="61" t="s">
        <v>992</v>
      </c>
      <c r="E283" s="61"/>
      <c r="F283" s="61"/>
      <c r="G283" s="61"/>
      <c r="H283" s="48" t="s">
        <v>299</v>
      </c>
      <c r="I283" s="13">
        <v>65</v>
      </c>
      <c r="J283" s="13">
        <v>0</v>
      </c>
      <c r="K283" s="13">
        <f t="shared" si="160"/>
        <v>0</v>
      </c>
      <c r="L283" s="13">
        <f t="shared" si="161"/>
        <v>0</v>
      </c>
      <c r="M283" s="13">
        <f t="shared" si="162"/>
        <v>0</v>
      </c>
      <c r="N283" s="13">
        <v>0</v>
      </c>
      <c r="O283" s="10" t="s">
        <v>851</v>
      </c>
      <c r="Z283" s="13">
        <f t="shared" si="163"/>
        <v>0</v>
      </c>
      <c r="AB283" s="13">
        <f t="shared" si="164"/>
        <v>0</v>
      </c>
      <c r="AC283" s="13">
        <f t="shared" si="165"/>
        <v>0</v>
      </c>
      <c r="AD283" s="13">
        <f t="shared" si="166"/>
        <v>0</v>
      </c>
      <c r="AE283" s="13">
        <f t="shared" si="167"/>
        <v>0</v>
      </c>
      <c r="AF283" s="13">
        <f t="shared" si="168"/>
        <v>0</v>
      </c>
      <c r="AG283" s="13">
        <f t="shared" si="169"/>
        <v>0</v>
      </c>
      <c r="AH283" s="13">
        <f t="shared" si="170"/>
        <v>0</v>
      </c>
      <c r="AI283" s="21" t="s">
        <v>242</v>
      </c>
      <c r="AJ283" s="13">
        <f t="shared" si="171"/>
        <v>0</v>
      </c>
      <c r="AK283" s="13">
        <f t="shared" si="172"/>
        <v>0</v>
      </c>
      <c r="AL283" s="13">
        <f t="shared" si="173"/>
        <v>0</v>
      </c>
      <c r="AN283" s="13">
        <v>21</v>
      </c>
      <c r="AO283" s="13">
        <f>J283*1</f>
        <v>0</v>
      </c>
      <c r="AP283" s="13">
        <f>J283*(1-1)</f>
        <v>0</v>
      </c>
      <c r="AQ283" s="32" t="s">
        <v>1231</v>
      </c>
      <c r="AV283" s="13">
        <f t="shared" si="174"/>
        <v>0</v>
      </c>
      <c r="AW283" s="13">
        <f t="shared" si="175"/>
        <v>0</v>
      </c>
      <c r="AX283" s="13">
        <f t="shared" si="176"/>
        <v>0</v>
      </c>
      <c r="AY283" s="32" t="s">
        <v>98</v>
      </c>
      <c r="AZ283" s="32" t="s">
        <v>865</v>
      </c>
      <c r="BA283" s="21" t="s">
        <v>902</v>
      </c>
      <c r="BC283" s="13">
        <f t="shared" si="177"/>
        <v>0</v>
      </c>
      <c r="BD283" s="13">
        <f t="shared" si="178"/>
        <v>0</v>
      </c>
      <c r="BE283" s="13">
        <v>0</v>
      </c>
      <c r="BF283" s="13">
        <f>283</f>
        <v>283</v>
      </c>
      <c r="BH283" s="13">
        <f t="shared" si="179"/>
        <v>0</v>
      </c>
      <c r="BI283" s="13">
        <f t="shared" si="180"/>
        <v>0</v>
      </c>
      <c r="BJ283" s="13">
        <f t="shared" si="181"/>
        <v>0</v>
      </c>
      <c r="BK283" s="13"/>
      <c r="BL283" s="13">
        <v>89</v>
      </c>
    </row>
    <row r="284" spans="1:64" ht="15" customHeight="1">
      <c r="A284" s="11" t="s">
        <v>1001</v>
      </c>
      <c r="B284" s="48" t="s">
        <v>242</v>
      </c>
      <c r="C284" s="48" t="s">
        <v>973</v>
      </c>
      <c r="D284" s="61" t="s">
        <v>442</v>
      </c>
      <c r="E284" s="61"/>
      <c r="F284" s="61"/>
      <c r="G284" s="61"/>
      <c r="H284" s="48" t="s">
        <v>299</v>
      </c>
      <c r="I284" s="13">
        <v>16</v>
      </c>
      <c r="J284" s="13">
        <v>0</v>
      </c>
      <c r="K284" s="13">
        <f t="shared" si="160"/>
        <v>0</v>
      </c>
      <c r="L284" s="13">
        <f t="shared" si="161"/>
        <v>0</v>
      </c>
      <c r="M284" s="13">
        <f t="shared" si="162"/>
        <v>0</v>
      </c>
      <c r="N284" s="13">
        <v>0.00702</v>
      </c>
      <c r="O284" s="10" t="s">
        <v>851</v>
      </c>
      <c r="Z284" s="13">
        <f t="shared" si="163"/>
        <v>0</v>
      </c>
      <c r="AB284" s="13">
        <f t="shared" si="164"/>
        <v>0</v>
      </c>
      <c r="AC284" s="13">
        <f t="shared" si="165"/>
        <v>0</v>
      </c>
      <c r="AD284" s="13">
        <f t="shared" si="166"/>
        <v>0</v>
      </c>
      <c r="AE284" s="13">
        <f t="shared" si="167"/>
        <v>0</v>
      </c>
      <c r="AF284" s="13">
        <f t="shared" si="168"/>
        <v>0</v>
      </c>
      <c r="AG284" s="13">
        <f t="shared" si="169"/>
        <v>0</v>
      </c>
      <c r="AH284" s="13">
        <f t="shared" si="170"/>
        <v>0</v>
      </c>
      <c r="AI284" s="21" t="s">
        <v>242</v>
      </c>
      <c r="AJ284" s="13">
        <f t="shared" si="171"/>
        <v>0</v>
      </c>
      <c r="AK284" s="13">
        <f t="shared" si="172"/>
        <v>0</v>
      </c>
      <c r="AL284" s="13">
        <f t="shared" si="173"/>
        <v>0</v>
      </c>
      <c r="AN284" s="13">
        <v>21</v>
      </c>
      <c r="AO284" s="13">
        <f>J284*0.0102210490819661</f>
        <v>0</v>
      </c>
      <c r="AP284" s="13">
        <f>J284*(1-0.0102210490819661)</f>
        <v>0</v>
      </c>
      <c r="AQ284" s="32" t="s">
        <v>1231</v>
      </c>
      <c r="AV284" s="13">
        <f t="shared" si="174"/>
        <v>0</v>
      </c>
      <c r="AW284" s="13">
        <f t="shared" si="175"/>
        <v>0</v>
      </c>
      <c r="AX284" s="13">
        <f t="shared" si="176"/>
        <v>0</v>
      </c>
      <c r="AY284" s="32" t="s">
        <v>98</v>
      </c>
      <c r="AZ284" s="32" t="s">
        <v>865</v>
      </c>
      <c r="BA284" s="21" t="s">
        <v>902</v>
      </c>
      <c r="BC284" s="13">
        <f t="shared" si="177"/>
        <v>0</v>
      </c>
      <c r="BD284" s="13">
        <f t="shared" si="178"/>
        <v>0</v>
      </c>
      <c r="BE284" s="13">
        <v>0</v>
      </c>
      <c r="BF284" s="13">
        <f>284</f>
        <v>284</v>
      </c>
      <c r="BH284" s="13">
        <f t="shared" si="179"/>
        <v>0</v>
      </c>
      <c r="BI284" s="13">
        <f t="shared" si="180"/>
        <v>0</v>
      </c>
      <c r="BJ284" s="13">
        <f t="shared" si="181"/>
        <v>0</v>
      </c>
      <c r="BK284" s="13"/>
      <c r="BL284" s="13">
        <v>89</v>
      </c>
    </row>
    <row r="285" spans="1:64" ht="15" customHeight="1">
      <c r="A285" s="11" t="s">
        <v>1209</v>
      </c>
      <c r="B285" s="48" t="s">
        <v>242</v>
      </c>
      <c r="C285" s="48" t="s">
        <v>694</v>
      </c>
      <c r="D285" s="61" t="s">
        <v>56</v>
      </c>
      <c r="E285" s="61"/>
      <c r="F285" s="61"/>
      <c r="G285" s="61"/>
      <c r="H285" s="48" t="s">
        <v>299</v>
      </c>
      <c r="I285" s="13">
        <v>16</v>
      </c>
      <c r="J285" s="13">
        <v>0</v>
      </c>
      <c r="K285" s="13">
        <f t="shared" si="160"/>
        <v>0</v>
      </c>
      <c r="L285" s="13">
        <f t="shared" si="161"/>
        <v>0</v>
      </c>
      <c r="M285" s="13">
        <f t="shared" si="162"/>
        <v>0</v>
      </c>
      <c r="N285" s="13">
        <v>0.062</v>
      </c>
      <c r="O285" s="10" t="s">
        <v>851</v>
      </c>
      <c r="Z285" s="13">
        <f t="shared" si="163"/>
        <v>0</v>
      </c>
      <c r="AB285" s="13">
        <f t="shared" si="164"/>
        <v>0</v>
      </c>
      <c r="AC285" s="13">
        <f t="shared" si="165"/>
        <v>0</v>
      </c>
      <c r="AD285" s="13">
        <f t="shared" si="166"/>
        <v>0</v>
      </c>
      <c r="AE285" s="13">
        <f t="shared" si="167"/>
        <v>0</v>
      </c>
      <c r="AF285" s="13">
        <f t="shared" si="168"/>
        <v>0</v>
      </c>
      <c r="AG285" s="13">
        <f t="shared" si="169"/>
        <v>0</v>
      </c>
      <c r="AH285" s="13">
        <f t="shared" si="170"/>
        <v>0</v>
      </c>
      <c r="AI285" s="21" t="s">
        <v>242</v>
      </c>
      <c r="AJ285" s="13">
        <f t="shared" si="171"/>
        <v>0</v>
      </c>
      <c r="AK285" s="13">
        <f t="shared" si="172"/>
        <v>0</v>
      </c>
      <c r="AL285" s="13">
        <f t="shared" si="173"/>
        <v>0</v>
      </c>
      <c r="AN285" s="13">
        <v>21</v>
      </c>
      <c r="AO285" s="13">
        <f>J285*1</f>
        <v>0</v>
      </c>
      <c r="AP285" s="13">
        <f>J285*(1-1)</f>
        <v>0</v>
      </c>
      <c r="AQ285" s="32" t="s">
        <v>1231</v>
      </c>
      <c r="AV285" s="13">
        <f t="shared" si="174"/>
        <v>0</v>
      </c>
      <c r="AW285" s="13">
        <f t="shared" si="175"/>
        <v>0</v>
      </c>
      <c r="AX285" s="13">
        <f t="shared" si="176"/>
        <v>0</v>
      </c>
      <c r="AY285" s="32" t="s">
        <v>98</v>
      </c>
      <c r="AZ285" s="32" t="s">
        <v>865</v>
      </c>
      <c r="BA285" s="21" t="s">
        <v>902</v>
      </c>
      <c r="BC285" s="13">
        <f t="shared" si="177"/>
        <v>0</v>
      </c>
      <c r="BD285" s="13">
        <f t="shared" si="178"/>
        <v>0</v>
      </c>
      <c r="BE285" s="13">
        <v>0</v>
      </c>
      <c r="BF285" s="13">
        <f>285</f>
        <v>285</v>
      </c>
      <c r="BH285" s="13">
        <f t="shared" si="179"/>
        <v>0</v>
      </c>
      <c r="BI285" s="13">
        <f t="shared" si="180"/>
        <v>0</v>
      </c>
      <c r="BJ285" s="13">
        <f t="shared" si="181"/>
        <v>0</v>
      </c>
      <c r="BK285" s="13"/>
      <c r="BL285" s="13">
        <v>89</v>
      </c>
    </row>
    <row r="286" spans="1:64" ht="15" customHeight="1">
      <c r="A286" s="11" t="s">
        <v>207</v>
      </c>
      <c r="B286" s="48" t="s">
        <v>242</v>
      </c>
      <c r="C286" s="48" t="s">
        <v>450</v>
      </c>
      <c r="D286" s="61" t="s">
        <v>1203</v>
      </c>
      <c r="E286" s="61"/>
      <c r="F286" s="61"/>
      <c r="G286" s="61"/>
      <c r="H286" s="48" t="s">
        <v>1018</v>
      </c>
      <c r="I286" s="13">
        <v>182.9</v>
      </c>
      <c r="J286" s="13">
        <v>0</v>
      </c>
      <c r="K286" s="13">
        <f t="shared" si="160"/>
        <v>0</v>
      </c>
      <c r="L286" s="13">
        <f t="shared" si="161"/>
        <v>0</v>
      </c>
      <c r="M286" s="13">
        <f t="shared" si="162"/>
        <v>0</v>
      </c>
      <c r="N286" s="13">
        <v>0</v>
      </c>
      <c r="O286" s="10" t="s">
        <v>851</v>
      </c>
      <c r="Z286" s="13">
        <f t="shared" si="163"/>
        <v>0</v>
      </c>
      <c r="AB286" s="13">
        <f t="shared" si="164"/>
        <v>0</v>
      </c>
      <c r="AC286" s="13">
        <f t="shared" si="165"/>
        <v>0</v>
      </c>
      <c r="AD286" s="13">
        <f t="shared" si="166"/>
        <v>0</v>
      </c>
      <c r="AE286" s="13">
        <f t="shared" si="167"/>
        <v>0</v>
      </c>
      <c r="AF286" s="13">
        <f t="shared" si="168"/>
        <v>0</v>
      </c>
      <c r="AG286" s="13">
        <f t="shared" si="169"/>
        <v>0</v>
      </c>
      <c r="AH286" s="13">
        <f t="shared" si="170"/>
        <v>0</v>
      </c>
      <c r="AI286" s="21" t="s">
        <v>242</v>
      </c>
      <c r="AJ286" s="13">
        <f t="shared" si="171"/>
        <v>0</v>
      </c>
      <c r="AK286" s="13">
        <f t="shared" si="172"/>
        <v>0</v>
      </c>
      <c r="AL286" s="13">
        <f t="shared" si="173"/>
        <v>0</v>
      </c>
      <c r="AN286" s="13">
        <v>21</v>
      </c>
      <c r="AO286" s="13">
        <f>J286*0.129513888888889</f>
        <v>0</v>
      </c>
      <c r="AP286" s="13">
        <f>J286*(1-0.129513888888889)</f>
        <v>0</v>
      </c>
      <c r="AQ286" s="32" t="s">
        <v>1231</v>
      </c>
      <c r="AV286" s="13">
        <f t="shared" si="174"/>
        <v>0</v>
      </c>
      <c r="AW286" s="13">
        <f t="shared" si="175"/>
        <v>0</v>
      </c>
      <c r="AX286" s="13">
        <f t="shared" si="176"/>
        <v>0</v>
      </c>
      <c r="AY286" s="32" t="s">
        <v>98</v>
      </c>
      <c r="AZ286" s="32" t="s">
        <v>865</v>
      </c>
      <c r="BA286" s="21" t="s">
        <v>902</v>
      </c>
      <c r="BC286" s="13">
        <f t="shared" si="177"/>
        <v>0</v>
      </c>
      <c r="BD286" s="13">
        <f t="shared" si="178"/>
        <v>0</v>
      </c>
      <c r="BE286" s="13">
        <v>0</v>
      </c>
      <c r="BF286" s="13">
        <f>286</f>
        <v>286</v>
      </c>
      <c r="BH286" s="13">
        <f t="shared" si="179"/>
        <v>0</v>
      </c>
      <c r="BI286" s="13">
        <f t="shared" si="180"/>
        <v>0</v>
      </c>
      <c r="BJ286" s="13">
        <f t="shared" si="181"/>
        <v>0</v>
      </c>
      <c r="BK286" s="13"/>
      <c r="BL286" s="13">
        <v>89</v>
      </c>
    </row>
    <row r="287" spans="1:64" ht="15" customHeight="1">
      <c r="A287" s="11" t="s">
        <v>1023</v>
      </c>
      <c r="B287" s="48" t="s">
        <v>242</v>
      </c>
      <c r="C287" s="48" t="s">
        <v>676</v>
      </c>
      <c r="D287" s="61" t="s">
        <v>444</v>
      </c>
      <c r="E287" s="61"/>
      <c r="F287" s="61"/>
      <c r="G287" s="61"/>
      <c r="H287" s="48" t="s">
        <v>1325</v>
      </c>
      <c r="I287" s="13">
        <v>4</v>
      </c>
      <c r="J287" s="13">
        <v>0</v>
      </c>
      <c r="K287" s="13">
        <f t="shared" si="160"/>
        <v>0</v>
      </c>
      <c r="L287" s="13">
        <f t="shared" si="161"/>
        <v>0</v>
      </c>
      <c r="M287" s="13">
        <f t="shared" si="162"/>
        <v>0</v>
      </c>
      <c r="N287" s="13">
        <v>0.00032</v>
      </c>
      <c r="O287" s="10" t="s">
        <v>851</v>
      </c>
      <c r="Z287" s="13">
        <f t="shared" si="163"/>
        <v>0</v>
      </c>
      <c r="AB287" s="13">
        <f t="shared" si="164"/>
        <v>0</v>
      </c>
      <c r="AC287" s="13">
        <f t="shared" si="165"/>
        <v>0</v>
      </c>
      <c r="AD287" s="13">
        <f t="shared" si="166"/>
        <v>0</v>
      </c>
      <c r="AE287" s="13">
        <f t="shared" si="167"/>
        <v>0</v>
      </c>
      <c r="AF287" s="13">
        <f t="shared" si="168"/>
        <v>0</v>
      </c>
      <c r="AG287" s="13">
        <f t="shared" si="169"/>
        <v>0</v>
      </c>
      <c r="AH287" s="13">
        <f t="shared" si="170"/>
        <v>0</v>
      </c>
      <c r="AI287" s="21" t="s">
        <v>242</v>
      </c>
      <c r="AJ287" s="13">
        <f t="shared" si="171"/>
        <v>0</v>
      </c>
      <c r="AK287" s="13">
        <f t="shared" si="172"/>
        <v>0</v>
      </c>
      <c r="AL287" s="13">
        <f t="shared" si="173"/>
        <v>0</v>
      </c>
      <c r="AN287" s="13">
        <v>21</v>
      </c>
      <c r="AO287" s="13">
        <f>J287*0.172805875566436</f>
        <v>0</v>
      </c>
      <c r="AP287" s="13">
        <f>J287*(1-0.172805875566436)</f>
        <v>0</v>
      </c>
      <c r="AQ287" s="32" t="s">
        <v>1231</v>
      </c>
      <c r="AV287" s="13">
        <f t="shared" si="174"/>
        <v>0</v>
      </c>
      <c r="AW287" s="13">
        <f t="shared" si="175"/>
        <v>0</v>
      </c>
      <c r="AX287" s="13">
        <f t="shared" si="176"/>
        <v>0</v>
      </c>
      <c r="AY287" s="32" t="s">
        <v>98</v>
      </c>
      <c r="AZ287" s="32" t="s">
        <v>865</v>
      </c>
      <c r="BA287" s="21" t="s">
        <v>902</v>
      </c>
      <c r="BC287" s="13">
        <f t="shared" si="177"/>
        <v>0</v>
      </c>
      <c r="BD287" s="13">
        <f t="shared" si="178"/>
        <v>0</v>
      </c>
      <c r="BE287" s="13">
        <v>0</v>
      </c>
      <c r="BF287" s="13">
        <f>287</f>
        <v>287</v>
      </c>
      <c r="BH287" s="13">
        <f t="shared" si="179"/>
        <v>0</v>
      </c>
      <c r="BI287" s="13">
        <f t="shared" si="180"/>
        <v>0</v>
      </c>
      <c r="BJ287" s="13">
        <f t="shared" si="181"/>
        <v>0</v>
      </c>
      <c r="BK287" s="13"/>
      <c r="BL287" s="13">
        <v>89</v>
      </c>
    </row>
    <row r="288" spans="1:64" ht="15" customHeight="1">
      <c r="A288" s="11" t="s">
        <v>1381</v>
      </c>
      <c r="B288" s="48" t="s">
        <v>242</v>
      </c>
      <c r="C288" s="48" t="s">
        <v>997</v>
      </c>
      <c r="D288" s="61" t="s">
        <v>1146</v>
      </c>
      <c r="E288" s="61"/>
      <c r="F288" s="61"/>
      <c r="G288" s="61"/>
      <c r="H288" s="48" t="s">
        <v>1018</v>
      </c>
      <c r="I288" s="13">
        <v>163.5</v>
      </c>
      <c r="J288" s="13">
        <v>0</v>
      </c>
      <c r="K288" s="13">
        <f t="shared" si="160"/>
        <v>0</v>
      </c>
      <c r="L288" s="13">
        <f t="shared" si="161"/>
        <v>0</v>
      </c>
      <c r="M288" s="13">
        <f t="shared" si="162"/>
        <v>0</v>
      </c>
      <c r="N288" s="13">
        <v>0</v>
      </c>
      <c r="O288" s="10" t="s">
        <v>851</v>
      </c>
      <c r="Z288" s="13">
        <f t="shared" si="163"/>
        <v>0</v>
      </c>
      <c r="AB288" s="13">
        <f t="shared" si="164"/>
        <v>0</v>
      </c>
      <c r="AC288" s="13">
        <f t="shared" si="165"/>
        <v>0</v>
      </c>
      <c r="AD288" s="13">
        <f t="shared" si="166"/>
        <v>0</v>
      </c>
      <c r="AE288" s="13">
        <f t="shared" si="167"/>
        <v>0</v>
      </c>
      <c r="AF288" s="13">
        <f t="shared" si="168"/>
        <v>0</v>
      </c>
      <c r="AG288" s="13">
        <f t="shared" si="169"/>
        <v>0</v>
      </c>
      <c r="AH288" s="13">
        <f t="shared" si="170"/>
        <v>0</v>
      </c>
      <c r="AI288" s="21" t="s">
        <v>242</v>
      </c>
      <c r="AJ288" s="13">
        <f t="shared" si="171"/>
        <v>0</v>
      </c>
      <c r="AK288" s="13">
        <f t="shared" si="172"/>
        <v>0</v>
      </c>
      <c r="AL288" s="13">
        <f t="shared" si="173"/>
        <v>0</v>
      </c>
      <c r="AN288" s="13">
        <v>21</v>
      </c>
      <c r="AO288" s="13">
        <f>J288*0.20035799522673</f>
        <v>0</v>
      </c>
      <c r="AP288" s="13">
        <f>J288*(1-0.20035799522673)</f>
        <v>0</v>
      </c>
      <c r="AQ288" s="32" t="s">
        <v>1231</v>
      </c>
      <c r="AV288" s="13">
        <f t="shared" si="174"/>
        <v>0</v>
      </c>
      <c r="AW288" s="13">
        <f t="shared" si="175"/>
        <v>0</v>
      </c>
      <c r="AX288" s="13">
        <f t="shared" si="176"/>
        <v>0</v>
      </c>
      <c r="AY288" s="32" t="s">
        <v>98</v>
      </c>
      <c r="AZ288" s="32" t="s">
        <v>865</v>
      </c>
      <c r="BA288" s="21" t="s">
        <v>902</v>
      </c>
      <c r="BC288" s="13">
        <f t="shared" si="177"/>
        <v>0</v>
      </c>
      <c r="BD288" s="13">
        <f t="shared" si="178"/>
        <v>0</v>
      </c>
      <c r="BE288" s="13">
        <v>0</v>
      </c>
      <c r="BF288" s="13">
        <f>288</f>
        <v>288</v>
      </c>
      <c r="BH288" s="13">
        <f t="shared" si="179"/>
        <v>0</v>
      </c>
      <c r="BI288" s="13">
        <f t="shared" si="180"/>
        <v>0</v>
      </c>
      <c r="BJ288" s="13">
        <f t="shared" si="181"/>
        <v>0</v>
      </c>
      <c r="BK288" s="13"/>
      <c r="BL288" s="13">
        <v>89</v>
      </c>
    </row>
    <row r="289" spans="1:64" ht="15" customHeight="1">
      <c r="A289" s="11" t="s">
        <v>306</v>
      </c>
      <c r="B289" s="48" t="s">
        <v>242</v>
      </c>
      <c r="C289" s="48" t="s">
        <v>799</v>
      </c>
      <c r="D289" s="61" t="s">
        <v>773</v>
      </c>
      <c r="E289" s="61"/>
      <c r="F289" s="61"/>
      <c r="G289" s="61"/>
      <c r="H289" s="48" t="s">
        <v>1325</v>
      </c>
      <c r="I289" s="13">
        <v>5</v>
      </c>
      <c r="J289" s="13">
        <v>0</v>
      </c>
      <c r="K289" s="13">
        <f t="shared" si="160"/>
        <v>0</v>
      </c>
      <c r="L289" s="13">
        <f t="shared" si="161"/>
        <v>0</v>
      </c>
      <c r="M289" s="13">
        <f t="shared" si="162"/>
        <v>0</v>
      </c>
      <c r="N289" s="13">
        <v>0.00041</v>
      </c>
      <c r="O289" s="10" t="s">
        <v>851</v>
      </c>
      <c r="Z289" s="13">
        <f t="shared" si="163"/>
        <v>0</v>
      </c>
      <c r="AB289" s="13">
        <f t="shared" si="164"/>
        <v>0</v>
      </c>
      <c r="AC289" s="13">
        <f t="shared" si="165"/>
        <v>0</v>
      </c>
      <c r="AD289" s="13">
        <f t="shared" si="166"/>
        <v>0</v>
      </c>
      <c r="AE289" s="13">
        <f t="shared" si="167"/>
        <v>0</v>
      </c>
      <c r="AF289" s="13">
        <f t="shared" si="168"/>
        <v>0</v>
      </c>
      <c r="AG289" s="13">
        <f t="shared" si="169"/>
        <v>0</v>
      </c>
      <c r="AH289" s="13">
        <f t="shared" si="170"/>
        <v>0</v>
      </c>
      <c r="AI289" s="21" t="s">
        <v>242</v>
      </c>
      <c r="AJ289" s="13">
        <f t="shared" si="171"/>
        <v>0</v>
      </c>
      <c r="AK289" s="13">
        <f t="shared" si="172"/>
        <v>0</v>
      </c>
      <c r="AL289" s="13">
        <f t="shared" si="173"/>
        <v>0</v>
      </c>
      <c r="AN289" s="13">
        <v>21</v>
      </c>
      <c r="AO289" s="13">
        <f>J289*0.124624657534247</f>
        <v>0</v>
      </c>
      <c r="AP289" s="13">
        <f>J289*(1-0.124624657534247)</f>
        <v>0</v>
      </c>
      <c r="AQ289" s="32" t="s">
        <v>1231</v>
      </c>
      <c r="AV289" s="13">
        <f t="shared" si="174"/>
        <v>0</v>
      </c>
      <c r="AW289" s="13">
        <f t="shared" si="175"/>
        <v>0</v>
      </c>
      <c r="AX289" s="13">
        <f t="shared" si="176"/>
        <v>0</v>
      </c>
      <c r="AY289" s="32" t="s">
        <v>98</v>
      </c>
      <c r="AZ289" s="32" t="s">
        <v>865</v>
      </c>
      <c r="BA289" s="21" t="s">
        <v>902</v>
      </c>
      <c r="BC289" s="13">
        <f t="shared" si="177"/>
        <v>0</v>
      </c>
      <c r="BD289" s="13">
        <f t="shared" si="178"/>
        <v>0</v>
      </c>
      <c r="BE289" s="13">
        <v>0</v>
      </c>
      <c r="BF289" s="13">
        <f>289</f>
        <v>289</v>
      </c>
      <c r="BH289" s="13">
        <f t="shared" si="179"/>
        <v>0</v>
      </c>
      <c r="BI289" s="13">
        <f t="shared" si="180"/>
        <v>0</v>
      </c>
      <c r="BJ289" s="13">
        <f t="shared" si="181"/>
        <v>0</v>
      </c>
      <c r="BK289" s="13"/>
      <c r="BL289" s="13">
        <v>89</v>
      </c>
    </row>
    <row r="290" spans="1:64" ht="15" customHeight="1">
      <c r="A290" s="11" t="s">
        <v>445</v>
      </c>
      <c r="B290" s="48" t="s">
        <v>242</v>
      </c>
      <c r="C290" s="48" t="s">
        <v>46</v>
      </c>
      <c r="D290" s="61" t="s">
        <v>114</v>
      </c>
      <c r="E290" s="61"/>
      <c r="F290" s="61"/>
      <c r="G290" s="61"/>
      <c r="H290" s="48" t="s">
        <v>1018</v>
      </c>
      <c r="I290" s="13">
        <v>100.5</v>
      </c>
      <c r="J290" s="13">
        <v>0</v>
      </c>
      <c r="K290" s="13">
        <f t="shared" si="160"/>
        <v>0</v>
      </c>
      <c r="L290" s="13">
        <f t="shared" si="161"/>
        <v>0</v>
      </c>
      <c r="M290" s="13">
        <f t="shared" si="162"/>
        <v>0</v>
      </c>
      <c r="N290" s="13">
        <v>0</v>
      </c>
      <c r="O290" s="10" t="s">
        <v>851</v>
      </c>
      <c r="Z290" s="13">
        <f t="shared" si="163"/>
        <v>0</v>
      </c>
      <c r="AB290" s="13">
        <f t="shared" si="164"/>
        <v>0</v>
      </c>
      <c r="AC290" s="13">
        <f t="shared" si="165"/>
        <v>0</v>
      </c>
      <c r="AD290" s="13">
        <f t="shared" si="166"/>
        <v>0</v>
      </c>
      <c r="AE290" s="13">
        <f t="shared" si="167"/>
        <v>0</v>
      </c>
      <c r="AF290" s="13">
        <f t="shared" si="168"/>
        <v>0</v>
      </c>
      <c r="AG290" s="13">
        <f t="shared" si="169"/>
        <v>0</v>
      </c>
      <c r="AH290" s="13">
        <f t="shared" si="170"/>
        <v>0</v>
      </c>
      <c r="AI290" s="21" t="s">
        <v>242</v>
      </c>
      <c r="AJ290" s="13">
        <f t="shared" si="171"/>
        <v>0</v>
      </c>
      <c r="AK290" s="13">
        <f t="shared" si="172"/>
        <v>0</v>
      </c>
      <c r="AL290" s="13">
        <f t="shared" si="173"/>
        <v>0</v>
      </c>
      <c r="AN290" s="13">
        <v>21</v>
      </c>
      <c r="AO290" s="13">
        <f>J290*0.245781445156535</f>
        <v>0</v>
      </c>
      <c r="AP290" s="13">
        <f>J290*(1-0.245781445156535)</f>
        <v>0</v>
      </c>
      <c r="AQ290" s="32" t="s">
        <v>1231</v>
      </c>
      <c r="AV290" s="13">
        <f t="shared" si="174"/>
        <v>0</v>
      </c>
      <c r="AW290" s="13">
        <f t="shared" si="175"/>
        <v>0</v>
      </c>
      <c r="AX290" s="13">
        <f t="shared" si="176"/>
        <v>0</v>
      </c>
      <c r="AY290" s="32" t="s">
        <v>98</v>
      </c>
      <c r="AZ290" s="32" t="s">
        <v>865</v>
      </c>
      <c r="BA290" s="21" t="s">
        <v>902</v>
      </c>
      <c r="BC290" s="13">
        <f t="shared" si="177"/>
        <v>0</v>
      </c>
      <c r="BD290" s="13">
        <f t="shared" si="178"/>
        <v>0</v>
      </c>
      <c r="BE290" s="13">
        <v>0</v>
      </c>
      <c r="BF290" s="13">
        <f>290</f>
        <v>290</v>
      </c>
      <c r="BH290" s="13">
        <f t="shared" si="179"/>
        <v>0</v>
      </c>
      <c r="BI290" s="13">
        <f t="shared" si="180"/>
        <v>0</v>
      </c>
      <c r="BJ290" s="13">
        <f t="shared" si="181"/>
        <v>0</v>
      </c>
      <c r="BK290" s="13"/>
      <c r="BL290" s="13">
        <v>89</v>
      </c>
    </row>
    <row r="291" spans="1:64" ht="15" customHeight="1">
      <c r="A291" s="11" t="s">
        <v>414</v>
      </c>
      <c r="B291" s="48" t="s">
        <v>242</v>
      </c>
      <c r="C291" s="48" t="s">
        <v>570</v>
      </c>
      <c r="D291" s="61" t="s">
        <v>479</v>
      </c>
      <c r="E291" s="61"/>
      <c r="F291" s="61"/>
      <c r="G291" s="61"/>
      <c r="H291" s="48" t="s">
        <v>1325</v>
      </c>
      <c r="I291" s="13">
        <v>6</v>
      </c>
      <c r="J291" s="13">
        <v>0</v>
      </c>
      <c r="K291" s="13">
        <f t="shared" si="160"/>
        <v>0</v>
      </c>
      <c r="L291" s="13">
        <f t="shared" si="161"/>
        <v>0</v>
      </c>
      <c r="M291" s="13">
        <f t="shared" si="162"/>
        <v>0</v>
      </c>
      <c r="N291" s="13">
        <v>0.00071</v>
      </c>
      <c r="O291" s="10" t="s">
        <v>851</v>
      </c>
      <c r="Z291" s="13">
        <f t="shared" si="163"/>
        <v>0</v>
      </c>
      <c r="AB291" s="13">
        <f t="shared" si="164"/>
        <v>0</v>
      </c>
      <c r="AC291" s="13">
        <f t="shared" si="165"/>
        <v>0</v>
      </c>
      <c r="AD291" s="13">
        <f t="shared" si="166"/>
        <v>0</v>
      </c>
      <c r="AE291" s="13">
        <f t="shared" si="167"/>
        <v>0</v>
      </c>
      <c r="AF291" s="13">
        <f t="shared" si="168"/>
        <v>0</v>
      </c>
      <c r="AG291" s="13">
        <f t="shared" si="169"/>
        <v>0</v>
      </c>
      <c r="AH291" s="13">
        <f t="shared" si="170"/>
        <v>0</v>
      </c>
      <c r="AI291" s="21" t="s">
        <v>242</v>
      </c>
      <c r="AJ291" s="13">
        <f t="shared" si="171"/>
        <v>0</v>
      </c>
      <c r="AK291" s="13">
        <f t="shared" si="172"/>
        <v>0</v>
      </c>
      <c r="AL291" s="13">
        <f t="shared" si="173"/>
        <v>0</v>
      </c>
      <c r="AN291" s="13">
        <v>21</v>
      </c>
      <c r="AO291" s="13">
        <f>J291*0.168811079190905</f>
        <v>0</v>
      </c>
      <c r="AP291" s="13">
        <f>J291*(1-0.168811079190905)</f>
        <v>0</v>
      </c>
      <c r="AQ291" s="32" t="s">
        <v>1231</v>
      </c>
      <c r="AV291" s="13">
        <f t="shared" si="174"/>
        <v>0</v>
      </c>
      <c r="AW291" s="13">
        <f t="shared" si="175"/>
        <v>0</v>
      </c>
      <c r="AX291" s="13">
        <f t="shared" si="176"/>
        <v>0</v>
      </c>
      <c r="AY291" s="32" t="s">
        <v>98</v>
      </c>
      <c r="AZ291" s="32" t="s">
        <v>865</v>
      </c>
      <c r="BA291" s="21" t="s">
        <v>902</v>
      </c>
      <c r="BC291" s="13">
        <f t="shared" si="177"/>
        <v>0</v>
      </c>
      <c r="BD291" s="13">
        <f t="shared" si="178"/>
        <v>0</v>
      </c>
      <c r="BE291" s="13">
        <v>0</v>
      </c>
      <c r="BF291" s="13">
        <f>291</f>
        <v>291</v>
      </c>
      <c r="BH291" s="13">
        <f t="shared" si="179"/>
        <v>0</v>
      </c>
      <c r="BI291" s="13">
        <f t="shared" si="180"/>
        <v>0</v>
      </c>
      <c r="BJ291" s="13">
        <f t="shared" si="181"/>
        <v>0</v>
      </c>
      <c r="BK291" s="13"/>
      <c r="BL291" s="13">
        <v>89</v>
      </c>
    </row>
    <row r="292" spans="1:64" ht="15" customHeight="1">
      <c r="A292" s="11" t="s">
        <v>815</v>
      </c>
      <c r="B292" s="48" t="s">
        <v>242</v>
      </c>
      <c r="C292" s="48" t="s">
        <v>656</v>
      </c>
      <c r="D292" s="61" t="s">
        <v>325</v>
      </c>
      <c r="E292" s="61"/>
      <c r="F292" s="61"/>
      <c r="G292" s="61"/>
      <c r="H292" s="48" t="s">
        <v>241</v>
      </c>
      <c r="I292" s="13">
        <v>43</v>
      </c>
      <c r="J292" s="13">
        <v>0</v>
      </c>
      <c r="K292" s="13">
        <f t="shared" si="160"/>
        <v>0</v>
      </c>
      <c r="L292" s="13">
        <f t="shared" si="161"/>
        <v>0</v>
      </c>
      <c r="M292" s="13">
        <f t="shared" si="162"/>
        <v>0</v>
      </c>
      <c r="N292" s="13">
        <v>2E-05</v>
      </c>
      <c r="O292" s="10" t="s">
        <v>851</v>
      </c>
      <c r="Z292" s="13">
        <f t="shared" si="163"/>
        <v>0</v>
      </c>
      <c r="AB292" s="13">
        <f t="shared" si="164"/>
        <v>0</v>
      </c>
      <c r="AC292" s="13">
        <f t="shared" si="165"/>
        <v>0</v>
      </c>
      <c r="AD292" s="13">
        <f t="shared" si="166"/>
        <v>0</v>
      </c>
      <c r="AE292" s="13">
        <f t="shared" si="167"/>
        <v>0</v>
      </c>
      <c r="AF292" s="13">
        <f t="shared" si="168"/>
        <v>0</v>
      </c>
      <c r="AG292" s="13">
        <f t="shared" si="169"/>
        <v>0</v>
      </c>
      <c r="AH292" s="13">
        <f t="shared" si="170"/>
        <v>0</v>
      </c>
      <c r="AI292" s="21" t="s">
        <v>242</v>
      </c>
      <c r="AJ292" s="13">
        <f t="shared" si="171"/>
        <v>0</v>
      </c>
      <c r="AK292" s="13">
        <f t="shared" si="172"/>
        <v>0</v>
      </c>
      <c r="AL292" s="13">
        <f t="shared" si="173"/>
        <v>0</v>
      </c>
      <c r="AN292" s="13">
        <v>21</v>
      </c>
      <c r="AO292" s="13">
        <f>J292*0.33300395256917</f>
        <v>0</v>
      </c>
      <c r="AP292" s="13">
        <f>J292*(1-0.33300395256917)</f>
        <v>0</v>
      </c>
      <c r="AQ292" s="32" t="s">
        <v>1231</v>
      </c>
      <c r="AV292" s="13">
        <f t="shared" si="174"/>
        <v>0</v>
      </c>
      <c r="AW292" s="13">
        <f t="shared" si="175"/>
        <v>0</v>
      </c>
      <c r="AX292" s="13">
        <f t="shared" si="176"/>
        <v>0</v>
      </c>
      <c r="AY292" s="32" t="s">
        <v>98</v>
      </c>
      <c r="AZ292" s="32" t="s">
        <v>865</v>
      </c>
      <c r="BA292" s="21" t="s">
        <v>902</v>
      </c>
      <c r="BC292" s="13">
        <f t="shared" si="177"/>
        <v>0</v>
      </c>
      <c r="BD292" s="13">
        <f t="shared" si="178"/>
        <v>0</v>
      </c>
      <c r="BE292" s="13">
        <v>0</v>
      </c>
      <c r="BF292" s="13">
        <f>292</f>
        <v>292</v>
      </c>
      <c r="BH292" s="13">
        <f t="shared" si="179"/>
        <v>0</v>
      </c>
      <c r="BI292" s="13">
        <f t="shared" si="180"/>
        <v>0</v>
      </c>
      <c r="BJ292" s="13">
        <f t="shared" si="181"/>
        <v>0</v>
      </c>
      <c r="BK292" s="13"/>
      <c r="BL292" s="13">
        <v>89</v>
      </c>
    </row>
    <row r="293" spans="1:47" ht="15" customHeight="1">
      <c r="A293" s="30" t="s">
        <v>862</v>
      </c>
      <c r="B293" s="18" t="s">
        <v>242</v>
      </c>
      <c r="C293" s="18" t="s">
        <v>55</v>
      </c>
      <c r="D293" s="73" t="s">
        <v>435</v>
      </c>
      <c r="E293" s="73"/>
      <c r="F293" s="73"/>
      <c r="G293" s="73"/>
      <c r="H293" s="15" t="s">
        <v>1148</v>
      </c>
      <c r="I293" s="15" t="s">
        <v>1148</v>
      </c>
      <c r="J293" s="15" t="s">
        <v>1148</v>
      </c>
      <c r="K293" s="56">
        <f>SUM(K294:K295)</f>
        <v>0</v>
      </c>
      <c r="L293" s="56">
        <f>SUM(L294:L295)</f>
        <v>0</v>
      </c>
      <c r="M293" s="56">
        <f>SUM(M294:M295)</f>
        <v>0</v>
      </c>
      <c r="N293" s="21" t="s">
        <v>862</v>
      </c>
      <c r="O293" s="47" t="s">
        <v>862</v>
      </c>
      <c r="AI293" s="21" t="s">
        <v>242</v>
      </c>
      <c r="AS293" s="56">
        <f>SUM(AJ294:AJ295)</f>
        <v>0</v>
      </c>
      <c r="AT293" s="56">
        <f>SUM(AK294:AK295)</f>
        <v>0</v>
      </c>
      <c r="AU293" s="56">
        <f>SUM(AL294:AL295)</f>
        <v>0</v>
      </c>
    </row>
    <row r="294" spans="1:64" ht="15" customHeight="1">
      <c r="A294" s="11" t="s">
        <v>195</v>
      </c>
      <c r="B294" s="48" t="s">
        <v>242</v>
      </c>
      <c r="C294" s="48" t="s">
        <v>22</v>
      </c>
      <c r="D294" s="61" t="s">
        <v>1259</v>
      </c>
      <c r="E294" s="61"/>
      <c r="F294" s="61"/>
      <c r="G294" s="61"/>
      <c r="H294" s="48" t="s">
        <v>1018</v>
      </c>
      <c r="I294" s="13">
        <v>554.2</v>
      </c>
      <c r="J294" s="13">
        <v>0</v>
      </c>
      <c r="K294" s="13">
        <f>I294*AO294</f>
        <v>0</v>
      </c>
      <c r="L294" s="13">
        <f>I294*AP294</f>
        <v>0</v>
      </c>
      <c r="M294" s="13">
        <f>I294*J294</f>
        <v>0</v>
      </c>
      <c r="N294" s="13">
        <v>0</v>
      </c>
      <c r="O294" s="10" t="s">
        <v>851</v>
      </c>
      <c r="Z294" s="13">
        <f>IF(AQ294="5",BJ294,0)</f>
        <v>0</v>
      </c>
      <c r="AB294" s="13">
        <f>IF(AQ294="1",BH294,0)</f>
        <v>0</v>
      </c>
      <c r="AC294" s="13">
        <f>IF(AQ294="1",BI294,0)</f>
        <v>0</v>
      </c>
      <c r="AD294" s="13">
        <f>IF(AQ294="7",BH294,0)</f>
        <v>0</v>
      </c>
      <c r="AE294" s="13">
        <f>IF(AQ294="7",BI294,0)</f>
        <v>0</v>
      </c>
      <c r="AF294" s="13">
        <f>IF(AQ294="2",BH294,0)</f>
        <v>0</v>
      </c>
      <c r="AG294" s="13">
        <f>IF(AQ294="2",BI294,0)</f>
        <v>0</v>
      </c>
      <c r="AH294" s="13">
        <f>IF(AQ294="0",BJ294,0)</f>
        <v>0</v>
      </c>
      <c r="AI294" s="21" t="s">
        <v>242</v>
      </c>
      <c r="AJ294" s="13">
        <f>IF(AN294=0,M294,0)</f>
        <v>0</v>
      </c>
      <c r="AK294" s="13">
        <f>IF(AN294=15,M294,0)</f>
        <v>0</v>
      </c>
      <c r="AL294" s="13">
        <f>IF(AN294=21,M294,0)</f>
        <v>0</v>
      </c>
      <c r="AN294" s="13">
        <v>21</v>
      </c>
      <c r="AO294" s="13">
        <f>J294*0.563818183637595</f>
        <v>0</v>
      </c>
      <c r="AP294" s="13">
        <f>J294*(1-0.563818183637595)</f>
        <v>0</v>
      </c>
      <c r="AQ294" s="32" t="s">
        <v>1231</v>
      </c>
      <c r="AV294" s="13">
        <f>AW294+AX294</f>
        <v>0</v>
      </c>
      <c r="AW294" s="13">
        <f>I294*AO294</f>
        <v>0</v>
      </c>
      <c r="AX294" s="13">
        <f>I294*AP294</f>
        <v>0</v>
      </c>
      <c r="AY294" s="32" t="s">
        <v>1206</v>
      </c>
      <c r="AZ294" s="32" t="s">
        <v>793</v>
      </c>
      <c r="BA294" s="21" t="s">
        <v>902</v>
      </c>
      <c r="BC294" s="13">
        <f>AW294+AX294</f>
        <v>0</v>
      </c>
      <c r="BD294" s="13">
        <f>J294/(100-BE294)*100</f>
        <v>0</v>
      </c>
      <c r="BE294" s="13">
        <v>0</v>
      </c>
      <c r="BF294" s="13">
        <f>294</f>
        <v>294</v>
      </c>
      <c r="BH294" s="13">
        <f>I294*AO294</f>
        <v>0</v>
      </c>
      <c r="BI294" s="13">
        <f>I294*AP294</f>
        <v>0</v>
      </c>
      <c r="BJ294" s="13">
        <f>I294*J294</f>
        <v>0</v>
      </c>
      <c r="BK294" s="13"/>
      <c r="BL294" s="13">
        <v>91</v>
      </c>
    </row>
    <row r="295" spans="1:64" ht="15" customHeight="1">
      <c r="A295" s="11" t="s">
        <v>439</v>
      </c>
      <c r="B295" s="48" t="s">
        <v>242</v>
      </c>
      <c r="C295" s="48" t="s">
        <v>692</v>
      </c>
      <c r="D295" s="61" t="s">
        <v>900</v>
      </c>
      <c r="E295" s="61"/>
      <c r="F295" s="61"/>
      <c r="G295" s="61"/>
      <c r="H295" s="48" t="s">
        <v>1018</v>
      </c>
      <c r="I295" s="13">
        <v>52</v>
      </c>
      <c r="J295" s="13">
        <v>0</v>
      </c>
      <c r="K295" s="13">
        <f>I295*AO295</f>
        <v>0</v>
      </c>
      <c r="L295" s="13">
        <f>I295*AP295</f>
        <v>0</v>
      </c>
      <c r="M295" s="13">
        <f>I295*J295</f>
        <v>0</v>
      </c>
      <c r="N295" s="13">
        <v>0.0001</v>
      </c>
      <c r="O295" s="10" t="s">
        <v>851</v>
      </c>
      <c r="Z295" s="13">
        <f>IF(AQ295="5",BJ295,0)</f>
        <v>0</v>
      </c>
      <c r="AB295" s="13">
        <f>IF(AQ295="1",BH295,0)</f>
        <v>0</v>
      </c>
      <c r="AC295" s="13">
        <f>IF(AQ295="1",BI295,0)</f>
        <v>0</v>
      </c>
      <c r="AD295" s="13">
        <f>IF(AQ295="7",BH295,0)</f>
        <v>0</v>
      </c>
      <c r="AE295" s="13">
        <f>IF(AQ295="7",BI295,0)</f>
        <v>0</v>
      </c>
      <c r="AF295" s="13">
        <f>IF(AQ295="2",BH295,0)</f>
        <v>0</v>
      </c>
      <c r="AG295" s="13">
        <f>IF(AQ295="2",BI295,0)</f>
        <v>0</v>
      </c>
      <c r="AH295" s="13">
        <f>IF(AQ295="0",BJ295,0)</f>
        <v>0</v>
      </c>
      <c r="AI295" s="21" t="s">
        <v>242</v>
      </c>
      <c r="AJ295" s="13">
        <f>IF(AN295=0,M295,0)</f>
        <v>0</v>
      </c>
      <c r="AK295" s="13">
        <f>IF(AN295=15,M295,0)</f>
        <v>0</v>
      </c>
      <c r="AL295" s="13">
        <f>IF(AN295=21,M295,0)</f>
        <v>0</v>
      </c>
      <c r="AN295" s="13">
        <v>21</v>
      </c>
      <c r="AO295" s="13">
        <f>J295*0.104916462063597</f>
        <v>0</v>
      </c>
      <c r="AP295" s="13">
        <f>J295*(1-0.104916462063597)</f>
        <v>0</v>
      </c>
      <c r="AQ295" s="32" t="s">
        <v>1231</v>
      </c>
      <c r="AV295" s="13">
        <f>AW295+AX295</f>
        <v>0</v>
      </c>
      <c r="AW295" s="13">
        <f>I295*AO295</f>
        <v>0</v>
      </c>
      <c r="AX295" s="13">
        <f>I295*AP295</f>
        <v>0</v>
      </c>
      <c r="AY295" s="32" t="s">
        <v>1206</v>
      </c>
      <c r="AZ295" s="32" t="s">
        <v>793</v>
      </c>
      <c r="BA295" s="21" t="s">
        <v>902</v>
      </c>
      <c r="BC295" s="13">
        <f>AW295+AX295</f>
        <v>0</v>
      </c>
      <c r="BD295" s="13">
        <f>J295/(100-BE295)*100</f>
        <v>0</v>
      </c>
      <c r="BE295" s="13">
        <v>0</v>
      </c>
      <c r="BF295" s="13">
        <f>295</f>
        <v>295</v>
      </c>
      <c r="BH295" s="13">
        <f>I295*AO295</f>
        <v>0</v>
      </c>
      <c r="BI295" s="13">
        <f>I295*AP295</f>
        <v>0</v>
      </c>
      <c r="BJ295" s="13">
        <f>I295*J295</f>
        <v>0</v>
      </c>
      <c r="BK295" s="13"/>
      <c r="BL295" s="13">
        <v>91</v>
      </c>
    </row>
    <row r="296" spans="1:47" ht="15" customHeight="1">
      <c r="A296" s="30" t="s">
        <v>862</v>
      </c>
      <c r="B296" s="18" t="s">
        <v>242</v>
      </c>
      <c r="C296" s="18" t="s">
        <v>1127</v>
      </c>
      <c r="D296" s="73" t="s">
        <v>467</v>
      </c>
      <c r="E296" s="73"/>
      <c r="F296" s="73"/>
      <c r="G296" s="73"/>
      <c r="H296" s="15" t="s">
        <v>1148</v>
      </c>
      <c r="I296" s="15" t="s">
        <v>1148</v>
      </c>
      <c r="J296" s="15" t="s">
        <v>1148</v>
      </c>
      <c r="K296" s="56">
        <f>SUM(K297:K297)</f>
        <v>0</v>
      </c>
      <c r="L296" s="56">
        <f>SUM(L297:L297)</f>
        <v>0</v>
      </c>
      <c r="M296" s="56">
        <f>SUM(M297:M297)</f>
        <v>0</v>
      </c>
      <c r="N296" s="21" t="s">
        <v>862</v>
      </c>
      <c r="O296" s="47" t="s">
        <v>862</v>
      </c>
      <c r="AI296" s="21" t="s">
        <v>242</v>
      </c>
      <c r="AS296" s="56">
        <f>SUM(AJ297:AJ297)</f>
        <v>0</v>
      </c>
      <c r="AT296" s="56">
        <f>SUM(AK297:AK297)</f>
        <v>0</v>
      </c>
      <c r="AU296" s="56">
        <f>SUM(AL297:AL297)</f>
        <v>0</v>
      </c>
    </row>
    <row r="297" spans="1:64" ht="15" customHeight="1">
      <c r="A297" s="11" t="s">
        <v>1026</v>
      </c>
      <c r="B297" s="48" t="s">
        <v>242</v>
      </c>
      <c r="C297" s="48" t="s">
        <v>795</v>
      </c>
      <c r="D297" s="61" t="s">
        <v>591</v>
      </c>
      <c r="E297" s="61"/>
      <c r="F297" s="61"/>
      <c r="G297" s="61"/>
      <c r="H297" s="48" t="s">
        <v>1195</v>
      </c>
      <c r="I297" s="13">
        <v>117.76995</v>
      </c>
      <c r="J297" s="13">
        <v>0</v>
      </c>
      <c r="K297" s="13">
        <f>I297*AO297</f>
        <v>0</v>
      </c>
      <c r="L297" s="13">
        <f>I297*AP297</f>
        <v>0</v>
      </c>
      <c r="M297" s="13">
        <f>I297*J297</f>
        <v>0</v>
      </c>
      <c r="N297" s="13">
        <v>1.8051</v>
      </c>
      <c r="O297" s="10" t="s">
        <v>851</v>
      </c>
      <c r="Z297" s="13">
        <f>IF(AQ297="5",BJ297,0)</f>
        <v>0</v>
      </c>
      <c r="AB297" s="13">
        <f>IF(AQ297="1",BH297,0)</f>
        <v>0</v>
      </c>
      <c r="AC297" s="13">
        <f>IF(AQ297="1",BI297,0)</f>
        <v>0</v>
      </c>
      <c r="AD297" s="13">
        <f>IF(AQ297="7",BH297,0)</f>
        <v>0</v>
      </c>
      <c r="AE297" s="13">
        <f>IF(AQ297="7",BI297,0)</f>
        <v>0</v>
      </c>
      <c r="AF297" s="13">
        <f>IF(AQ297="2",BH297,0)</f>
        <v>0</v>
      </c>
      <c r="AG297" s="13">
        <f>IF(AQ297="2",BI297,0)</f>
        <v>0</v>
      </c>
      <c r="AH297" s="13">
        <f>IF(AQ297="0",BJ297,0)</f>
        <v>0</v>
      </c>
      <c r="AI297" s="21" t="s">
        <v>242</v>
      </c>
      <c r="AJ297" s="13">
        <f>IF(AN297=0,M297,0)</f>
        <v>0</v>
      </c>
      <c r="AK297" s="13">
        <f>IF(AN297=15,M297,0)</f>
        <v>0</v>
      </c>
      <c r="AL297" s="13">
        <f>IF(AN297=21,M297,0)</f>
        <v>0</v>
      </c>
      <c r="AN297" s="13">
        <v>21</v>
      </c>
      <c r="AO297" s="13">
        <f>J297*0.583298526558953</f>
        <v>0</v>
      </c>
      <c r="AP297" s="13">
        <f>J297*(1-0.583298526558953)</f>
        <v>0</v>
      </c>
      <c r="AQ297" s="32" t="s">
        <v>1231</v>
      </c>
      <c r="AV297" s="13">
        <f>AW297+AX297</f>
        <v>0</v>
      </c>
      <c r="AW297" s="13">
        <f>I297*AO297</f>
        <v>0</v>
      </c>
      <c r="AX297" s="13">
        <f>I297*AP297</f>
        <v>0</v>
      </c>
      <c r="AY297" s="32" t="s">
        <v>1261</v>
      </c>
      <c r="AZ297" s="32" t="s">
        <v>793</v>
      </c>
      <c r="BA297" s="21" t="s">
        <v>902</v>
      </c>
      <c r="BC297" s="13">
        <f>AW297+AX297</f>
        <v>0</v>
      </c>
      <c r="BD297" s="13">
        <f>J297/(100-BE297)*100</f>
        <v>0</v>
      </c>
      <c r="BE297" s="13">
        <v>0</v>
      </c>
      <c r="BF297" s="13">
        <f>297</f>
        <v>297</v>
      </c>
      <c r="BH297" s="13">
        <f>I297*AO297</f>
        <v>0</v>
      </c>
      <c r="BI297" s="13">
        <f>I297*AP297</f>
        <v>0</v>
      </c>
      <c r="BJ297" s="13">
        <f>I297*J297</f>
        <v>0</v>
      </c>
      <c r="BK297" s="13"/>
      <c r="BL297" s="13">
        <v>93</v>
      </c>
    </row>
    <row r="298" spans="1:47" ht="15" customHeight="1">
      <c r="A298" s="30" t="s">
        <v>862</v>
      </c>
      <c r="B298" s="18" t="s">
        <v>242</v>
      </c>
      <c r="C298" s="18" t="s">
        <v>1305</v>
      </c>
      <c r="D298" s="73" t="s">
        <v>913</v>
      </c>
      <c r="E298" s="73"/>
      <c r="F298" s="73"/>
      <c r="G298" s="73"/>
      <c r="H298" s="15" t="s">
        <v>1148</v>
      </c>
      <c r="I298" s="15" t="s">
        <v>1148</v>
      </c>
      <c r="J298" s="15" t="s">
        <v>1148</v>
      </c>
      <c r="K298" s="56">
        <f>SUM(K299:K305)</f>
        <v>0</v>
      </c>
      <c r="L298" s="56">
        <f>SUM(L299:L305)</f>
        <v>0</v>
      </c>
      <c r="M298" s="56">
        <f>SUM(M299:M305)</f>
        <v>0</v>
      </c>
      <c r="N298" s="21" t="s">
        <v>862</v>
      </c>
      <c r="O298" s="47" t="s">
        <v>862</v>
      </c>
      <c r="AI298" s="21" t="s">
        <v>242</v>
      </c>
      <c r="AS298" s="56">
        <f>SUM(AJ299:AJ305)</f>
        <v>0</v>
      </c>
      <c r="AT298" s="56">
        <f>SUM(AK299:AK305)</f>
        <v>0</v>
      </c>
      <c r="AU298" s="56">
        <f>SUM(AL299:AL305)</f>
        <v>0</v>
      </c>
    </row>
    <row r="299" spans="1:64" ht="15" customHeight="1">
      <c r="A299" s="11" t="s">
        <v>27</v>
      </c>
      <c r="B299" s="48" t="s">
        <v>242</v>
      </c>
      <c r="C299" s="48" t="s">
        <v>702</v>
      </c>
      <c r="D299" s="61" t="s">
        <v>1045</v>
      </c>
      <c r="E299" s="61"/>
      <c r="F299" s="61"/>
      <c r="G299" s="61"/>
      <c r="H299" s="48" t="s">
        <v>1018</v>
      </c>
      <c r="I299" s="13">
        <v>10</v>
      </c>
      <c r="J299" s="13">
        <v>0</v>
      </c>
      <c r="K299" s="13">
        <f aca="true" t="shared" si="184" ref="K299:K305">I299*AO299</f>
        <v>0</v>
      </c>
      <c r="L299" s="13">
        <f aca="true" t="shared" si="185" ref="L299:L305">I299*AP299</f>
        <v>0</v>
      </c>
      <c r="M299" s="13">
        <f aca="true" t="shared" si="186" ref="M299:M305">I299*J299</f>
        <v>0</v>
      </c>
      <c r="N299" s="13">
        <v>0.02712</v>
      </c>
      <c r="O299" s="10" t="s">
        <v>851</v>
      </c>
      <c r="Z299" s="13">
        <f aca="true" t="shared" si="187" ref="Z299:Z305">IF(AQ299="5",BJ299,0)</f>
        <v>0</v>
      </c>
      <c r="AB299" s="13">
        <f aca="true" t="shared" si="188" ref="AB299:AB305">IF(AQ299="1",BH299,0)</f>
        <v>0</v>
      </c>
      <c r="AC299" s="13">
        <f aca="true" t="shared" si="189" ref="AC299:AC305">IF(AQ299="1",BI299,0)</f>
        <v>0</v>
      </c>
      <c r="AD299" s="13">
        <f aca="true" t="shared" si="190" ref="AD299:AD305">IF(AQ299="7",BH299,0)</f>
        <v>0</v>
      </c>
      <c r="AE299" s="13">
        <f aca="true" t="shared" si="191" ref="AE299:AE305">IF(AQ299="7",BI299,0)</f>
        <v>0</v>
      </c>
      <c r="AF299" s="13">
        <f aca="true" t="shared" si="192" ref="AF299:AF305">IF(AQ299="2",BH299,0)</f>
        <v>0</v>
      </c>
      <c r="AG299" s="13">
        <f aca="true" t="shared" si="193" ref="AG299:AG305">IF(AQ299="2",BI299,0)</f>
        <v>0</v>
      </c>
      <c r="AH299" s="13">
        <f aca="true" t="shared" si="194" ref="AH299:AH305">IF(AQ299="0",BJ299,0)</f>
        <v>0</v>
      </c>
      <c r="AI299" s="21" t="s">
        <v>242</v>
      </c>
      <c r="AJ299" s="13">
        <f aca="true" t="shared" si="195" ref="AJ299:AJ305">IF(AN299=0,M299,0)</f>
        <v>0</v>
      </c>
      <c r="AK299" s="13">
        <f aca="true" t="shared" si="196" ref="AK299:AK305">IF(AN299=15,M299,0)</f>
        <v>0</v>
      </c>
      <c r="AL299" s="13">
        <f aca="true" t="shared" si="197" ref="AL299:AL305">IF(AN299=21,M299,0)</f>
        <v>0</v>
      </c>
      <c r="AN299" s="13">
        <v>21</v>
      </c>
      <c r="AO299" s="13">
        <f>J299*0.285292190060076</f>
        <v>0</v>
      </c>
      <c r="AP299" s="13">
        <f>J299*(1-0.285292190060076)</f>
        <v>0</v>
      </c>
      <c r="AQ299" s="32" t="s">
        <v>857</v>
      </c>
      <c r="AV299" s="13">
        <f aca="true" t="shared" si="198" ref="AV299:AV305">AW299+AX299</f>
        <v>0</v>
      </c>
      <c r="AW299" s="13">
        <f aca="true" t="shared" si="199" ref="AW299:AW305">I299*AO299</f>
        <v>0</v>
      </c>
      <c r="AX299" s="13">
        <f aca="true" t="shared" si="200" ref="AX299:AX305">I299*AP299</f>
        <v>0</v>
      </c>
      <c r="AY299" s="32" t="s">
        <v>1149</v>
      </c>
      <c r="AZ299" s="32" t="s">
        <v>793</v>
      </c>
      <c r="BA299" s="21" t="s">
        <v>902</v>
      </c>
      <c r="BC299" s="13">
        <f aca="true" t="shared" si="201" ref="BC299:BC305">AW299+AX299</f>
        <v>0</v>
      </c>
      <c r="BD299" s="13">
        <f aca="true" t="shared" si="202" ref="BD299:BD305">J299/(100-BE299)*100</f>
        <v>0</v>
      </c>
      <c r="BE299" s="13">
        <v>0</v>
      </c>
      <c r="BF299" s="13">
        <f>299</f>
        <v>299</v>
      </c>
      <c r="BH299" s="13">
        <f aca="true" t="shared" si="203" ref="BH299:BH305">I299*AO299</f>
        <v>0</v>
      </c>
      <c r="BI299" s="13">
        <f aca="true" t="shared" si="204" ref="BI299:BI305">I299*AP299</f>
        <v>0</v>
      </c>
      <c r="BJ299" s="13">
        <f aca="true" t="shared" si="205" ref="BJ299:BJ305">I299*J299</f>
        <v>0</v>
      </c>
      <c r="BK299" s="13"/>
      <c r="BL299" s="13"/>
    </row>
    <row r="300" spans="1:64" ht="15" customHeight="1">
      <c r="A300" s="11" t="s">
        <v>516</v>
      </c>
      <c r="B300" s="48" t="s">
        <v>242</v>
      </c>
      <c r="C300" s="48" t="s">
        <v>1059</v>
      </c>
      <c r="D300" s="61" t="s">
        <v>1016</v>
      </c>
      <c r="E300" s="61"/>
      <c r="F300" s="61"/>
      <c r="G300" s="61"/>
      <c r="H300" s="48" t="s">
        <v>299</v>
      </c>
      <c r="I300" s="13">
        <v>4</v>
      </c>
      <c r="J300" s="13">
        <v>0</v>
      </c>
      <c r="K300" s="13">
        <f t="shared" si="184"/>
        <v>0</v>
      </c>
      <c r="L300" s="13">
        <f t="shared" si="185"/>
        <v>0</v>
      </c>
      <c r="M300" s="13">
        <f t="shared" si="186"/>
        <v>0</v>
      </c>
      <c r="N300" s="13">
        <v>0</v>
      </c>
      <c r="O300" s="10" t="s">
        <v>851</v>
      </c>
      <c r="Z300" s="13">
        <f t="shared" si="187"/>
        <v>0</v>
      </c>
      <c r="AB300" s="13">
        <f t="shared" si="188"/>
        <v>0</v>
      </c>
      <c r="AC300" s="13">
        <f t="shared" si="189"/>
        <v>0</v>
      </c>
      <c r="AD300" s="13">
        <f t="shared" si="190"/>
        <v>0</v>
      </c>
      <c r="AE300" s="13">
        <f t="shared" si="191"/>
        <v>0</v>
      </c>
      <c r="AF300" s="13">
        <f t="shared" si="192"/>
        <v>0</v>
      </c>
      <c r="AG300" s="13">
        <f t="shared" si="193"/>
        <v>0</v>
      </c>
      <c r="AH300" s="13">
        <f t="shared" si="194"/>
        <v>0</v>
      </c>
      <c r="AI300" s="21" t="s">
        <v>242</v>
      </c>
      <c r="AJ300" s="13">
        <f t="shared" si="195"/>
        <v>0</v>
      </c>
      <c r="AK300" s="13">
        <f t="shared" si="196"/>
        <v>0</v>
      </c>
      <c r="AL300" s="13">
        <f t="shared" si="197"/>
        <v>0</v>
      </c>
      <c r="AN300" s="13">
        <v>21</v>
      </c>
      <c r="AO300" s="13">
        <f>J300*0</f>
        <v>0</v>
      </c>
      <c r="AP300" s="13">
        <f>J300*(1-0)</f>
        <v>0</v>
      </c>
      <c r="AQ300" s="32" t="s">
        <v>857</v>
      </c>
      <c r="AV300" s="13">
        <f t="shared" si="198"/>
        <v>0</v>
      </c>
      <c r="AW300" s="13">
        <f t="shared" si="199"/>
        <v>0</v>
      </c>
      <c r="AX300" s="13">
        <f t="shared" si="200"/>
        <v>0</v>
      </c>
      <c r="AY300" s="32" t="s">
        <v>1149</v>
      </c>
      <c r="AZ300" s="32" t="s">
        <v>793</v>
      </c>
      <c r="BA300" s="21" t="s">
        <v>902</v>
      </c>
      <c r="BC300" s="13">
        <f t="shared" si="201"/>
        <v>0</v>
      </c>
      <c r="BD300" s="13">
        <f t="shared" si="202"/>
        <v>0</v>
      </c>
      <c r="BE300" s="13">
        <v>0</v>
      </c>
      <c r="BF300" s="13">
        <f>300</f>
        <v>300</v>
      </c>
      <c r="BH300" s="13">
        <f t="shared" si="203"/>
        <v>0</v>
      </c>
      <c r="BI300" s="13">
        <f t="shared" si="204"/>
        <v>0</v>
      </c>
      <c r="BJ300" s="13">
        <f t="shared" si="205"/>
        <v>0</v>
      </c>
      <c r="BK300" s="13"/>
      <c r="BL300" s="13"/>
    </row>
    <row r="301" spans="1:64" ht="15" customHeight="1">
      <c r="A301" s="11" t="s">
        <v>51</v>
      </c>
      <c r="B301" s="48" t="s">
        <v>242</v>
      </c>
      <c r="C301" s="48" t="s">
        <v>503</v>
      </c>
      <c r="D301" s="61" t="s">
        <v>470</v>
      </c>
      <c r="E301" s="61"/>
      <c r="F301" s="61"/>
      <c r="G301" s="61"/>
      <c r="H301" s="48" t="s">
        <v>299</v>
      </c>
      <c r="I301" s="13">
        <v>4</v>
      </c>
      <c r="J301" s="13">
        <v>0</v>
      </c>
      <c r="K301" s="13">
        <f t="shared" si="184"/>
        <v>0</v>
      </c>
      <c r="L301" s="13">
        <f t="shared" si="185"/>
        <v>0</v>
      </c>
      <c r="M301" s="13">
        <f t="shared" si="186"/>
        <v>0</v>
      </c>
      <c r="N301" s="13">
        <v>0.002</v>
      </c>
      <c r="O301" s="10" t="s">
        <v>851</v>
      </c>
      <c r="Z301" s="13">
        <f t="shared" si="187"/>
        <v>0</v>
      </c>
      <c r="AB301" s="13">
        <f t="shared" si="188"/>
        <v>0</v>
      </c>
      <c r="AC301" s="13">
        <f t="shared" si="189"/>
        <v>0</v>
      </c>
      <c r="AD301" s="13">
        <f t="shared" si="190"/>
        <v>0</v>
      </c>
      <c r="AE301" s="13">
        <f t="shared" si="191"/>
        <v>0</v>
      </c>
      <c r="AF301" s="13">
        <f t="shared" si="192"/>
        <v>0</v>
      </c>
      <c r="AG301" s="13">
        <f t="shared" si="193"/>
        <v>0</v>
      </c>
      <c r="AH301" s="13">
        <f t="shared" si="194"/>
        <v>0</v>
      </c>
      <c r="AI301" s="21" t="s">
        <v>242</v>
      </c>
      <c r="AJ301" s="13">
        <f t="shared" si="195"/>
        <v>0</v>
      </c>
      <c r="AK301" s="13">
        <f t="shared" si="196"/>
        <v>0</v>
      </c>
      <c r="AL301" s="13">
        <f t="shared" si="197"/>
        <v>0</v>
      </c>
      <c r="AN301" s="13">
        <v>21</v>
      </c>
      <c r="AO301" s="13">
        <f>J301*1</f>
        <v>0</v>
      </c>
      <c r="AP301" s="13">
        <f>J301*(1-1)</f>
        <v>0</v>
      </c>
      <c r="AQ301" s="32" t="s">
        <v>1231</v>
      </c>
      <c r="AV301" s="13">
        <f t="shared" si="198"/>
        <v>0</v>
      </c>
      <c r="AW301" s="13">
        <f t="shared" si="199"/>
        <v>0</v>
      </c>
      <c r="AX301" s="13">
        <f t="shared" si="200"/>
        <v>0</v>
      </c>
      <c r="AY301" s="32" t="s">
        <v>1149</v>
      </c>
      <c r="AZ301" s="32" t="s">
        <v>793</v>
      </c>
      <c r="BA301" s="21" t="s">
        <v>902</v>
      </c>
      <c r="BC301" s="13">
        <f t="shared" si="201"/>
        <v>0</v>
      </c>
      <c r="BD301" s="13">
        <f t="shared" si="202"/>
        <v>0</v>
      </c>
      <c r="BE301" s="13">
        <v>0</v>
      </c>
      <c r="BF301" s="13">
        <f>301</f>
        <v>301</v>
      </c>
      <c r="BH301" s="13">
        <f t="shared" si="203"/>
        <v>0</v>
      </c>
      <c r="BI301" s="13">
        <f t="shared" si="204"/>
        <v>0</v>
      </c>
      <c r="BJ301" s="13">
        <f t="shared" si="205"/>
        <v>0</v>
      </c>
      <c r="BK301" s="13"/>
      <c r="BL301" s="13"/>
    </row>
    <row r="302" spans="1:64" ht="15" customHeight="1">
      <c r="A302" s="11" t="s">
        <v>226</v>
      </c>
      <c r="B302" s="48" t="s">
        <v>242</v>
      </c>
      <c r="C302" s="48" t="s">
        <v>459</v>
      </c>
      <c r="D302" s="61" t="s">
        <v>1333</v>
      </c>
      <c r="E302" s="61"/>
      <c r="F302" s="61"/>
      <c r="G302" s="61"/>
      <c r="H302" s="48" t="s">
        <v>299</v>
      </c>
      <c r="I302" s="13">
        <v>12</v>
      </c>
      <c r="J302" s="13">
        <v>0</v>
      </c>
      <c r="K302" s="13">
        <f t="shared" si="184"/>
        <v>0</v>
      </c>
      <c r="L302" s="13">
        <f t="shared" si="185"/>
        <v>0</v>
      </c>
      <c r="M302" s="13">
        <f t="shared" si="186"/>
        <v>0</v>
      </c>
      <c r="N302" s="13">
        <v>0</v>
      </c>
      <c r="O302" s="10" t="s">
        <v>851</v>
      </c>
      <c r="Z302" s="13">
        <f t="shared" si="187"/>
        <v>0</v>
      </c>
      <c r="AB302" s="13">
        <f t="shared" si="188"/>
        <v>0</v>
      </c>
      <c r="AC302" s="13">
        <f t="shared" si="189"/>
        <v>0</v>
      </c>
      <c r="AD302" s="13">
        <f t="shared" si="190"/>
        <v>0</v>
      </c>
      <c r="AE302" s="13">
        <f t="shared" si="191"/>
        <v>0</v>
      </c>
      <c r="AF302" s="13">
        <f t="shared" si="192"/>
        <v>0</v>
      </c>
      <c r="AG302" s="13">
        <f t="shared" si="193"/>
        <v>0</v>
      </c>
      <c r="AH302" s="13">
        <f t="shared" si="194"/>
        <v>0</v>
      </c>
      <c r="AI302" s="21" t="s">
        <v>242</v>
      </c>
      <c r="AJ302" s="13">
        <f t="shared" si="195"/>
        <v>0</v>
      </c>
      <c r="AK302" s="13">
        <f t="shared" si="196"/>
        <v>0</v>
      </c>
      <c r="AL302" s="13">
        <f t="shared" si="197"/>
        <v>0</v>
      </c>
      <c r="AN302" s="13">
        <v>21</v>
      </c>
      <c r="AO302" s="13">
        <f>J302*0</f>
        <v>0</v>
      </c>
      <c r="AP302" s="13">
        <f>J302*(1-0)</f>
        <v>0</v>
      </c>
      <c r="AQ302" s="32" t="s">
        <v>857</v>
      </c>
      <c r="AV302" s="13">
        <f t="shared" si="198"/>
        <v>0</v>
      </c>
      <c r="AW302" s="13">
        <f t="shared" si="199"/>
        <v>0</v>
      </c>
      <c r="AX302" s="13">
        <f t="shared" si="200"/>
        <v>0</v>
      </c>
      <c r="AY302" s="32" t="s">
        <v>1149</v>
      </c>
      <c r="AZ302" s="32" t="s">
        <v>793</v>
      </c>
      <c r="BA302" s="21" t="s">
        <v>902</v>
      </c>
      <c r="BC302" s="13">
        <f t="shared" si="201"/>
        <v>0</v>
      </c>
      <c r="BD302" s="13">
        <f t="shared" si="202"/>
        <v>0</v>
      </c>
      <c r="BE302" s="13">
        <v>0</v>
      </c>
      <c r="BF302" s="13">
        <f>302</f>
        <v>302</v>
      </c>
      <c r="BH302" s="13">
        <f t="shared" si="203"/>
        <v>0</v>
      </c>
      <c r="BI302" s="13">
        <f t="shared" si="204"/>
        <v>0</v>
      </c>
      <c r="BJ302" s="13">
        <f t="shared" si="205"/>
        <v>0</v>
      </c>
      <c r="BK302" s="13"/>
      <c r="BL302" s="13"/>
    </row>
    <row r="303" spans="1:64" ht="15" customHeight="1">
      <c r="A303" s="11" t="s">
        <v>274</v>
      </c>
      <c r="B303" s="48" t="s">
        <v>242</v>
      </c>
      <c r="C303" s="48" t="s">
        <v>49</v>
      </c>
      <c r="D303" s="61" t="s">
        <v>157</v>
      </c>
      <c r="E303" s="61"/>
      <c r="F303" s="61"/>
      <c r="G303" s="61"/>
      <c r="H303" s="48" t="s">
        <v>299</v>
      </c>
      <c r="I303" s="13">
        <v>12</v>
      </c>
      <c r="J303" s="13">
        <v>0</v>
      </c>
      <c r="K303" s="13">
        <f t="shared" si="184"/>
        <v>0</v>
      </c>
      <c r="L303" s="13">
        <f t="shared" si="185"/>
        <v>0</v>
      </c>
      <c r="M303" s="13">
        <f t="shared" si="186"/>
        <v>0</v>
      </c>
      <c r="N303" s="13">
        <v>0.0012</v>
      </c>
      <c r="O303" s="10" t="s">
        <v>851</v>
      </c>
      <c r="Z303" s="13">
        <f t="shared" si="187"/>
        <v>0</v>
      </c>
      <c r="AB303" s="13">
        <f t="shared" si="188"/>
        <v>0</v>
      </c>
      <c r="AC303" s="13">
        <f t="shared" si="189"/>
        <v>0</v>
      </c>
      <c r="AD303" s="13">
        <f t="shared" si="190"/>
        <v>0</v>
      </c>
      <c r="AE303" s="13">
        <f t="shared" si="191"/>
        <v>0</v>
      </c>
      <c r="AF303" s="13">
        <f t="shared" si="192"/>
        <v>0</v>
      </c>
      <c r="AG303" s="13">
        <f t="shared" si="193"/>
        <v>0</v>
      </c>
      <c r="AH303" s="13">
        <f t="shared" si="194"/>
        <v>0</v>
      </c>
      <c r="AI303" s="21" t="s">
        <v>242</v>
      </c>
      <c r="AJ303" s="13">
        <f t="shared" si="195"/>
        <v>0</v>
      </c>
      <c r="AK303" s="13">
        <f t="shared" si="196"/>
        <v>0</v>
      </c>
      <c r="AL303" s="13">
        <f t="shared" si="197"/>
        <v>0</v>
      </c>
      <c r="AN303" s="13">
        <v>21</v>
      </c>
      <c r="AO303" s="13">
        <f>J303*1</f>
        <v>0</v>
      </c>
      <c r="AP303" s="13">
        <f>J303*(1-1)</f>
        <v>0</v>
      </c>
      <c r="AQ303" s="32" t="s">
        <v>1231</v>
      </c>
      <c r="AV303" s="13">
        <f t="shared" si="198"/>
        <v>0</v>
      </c>
      <c r="AW303" s="13">
        <f t="shared" si="199"/>
        <v>0</v>
      </c>
      <c r="AX303" s="13">
        <f t="shared" si="200"/>
        <v>0</v>
      </c>
      <c r="AY303" s="32" t="s">
        <v>1149</v>
      </c>
      <c r="AZ303" s="32" t="s">
        <v>793</v>
      </c>
      <c r="BA303" s="21" t="s">
        <v>902</v>
      </c>
      <c r="BC303" s="13">
        <f t="shared" si="201"/>
        <v>0</v>
      </c>
      <c r="BD303" s="13">
        <f t="shared" si="202"/>
        <v>0</v>
      </c>
      <c r="BE303" s="13">
        <v>0</v>
      </c>
      <c r="BF303" s="13">
        <f>303</f>
        <v>303</v>
      </c>
      <c r="BH303" s="13">
        <f t="shared" si="203"/>
        <v>0</v>
      </c>
      <c r="BI303" s="13">
        <f t="shared" si="204"/>
        <v>0</v>
      </c>
      <c r="BJ303" s="13">
        <f t="shared" si="205"/>
        <v>0</v>
      </c>
      <c r="BK303" s="13"/>
      <c r="BL303" s="13"/>
    </row>
    <row r="304" spans="1:64" ht="15" customHeight="1">
      <c r="A304" s="11" t="s">
        <v>219</v>
      </c>
      <c r="B304" s="48" t="s">
        <v>242</v>
      </c>
      <c r="C304" s="48" t="s">
        <v>1070</v>
      </c>
      <c r="D304" s="61" t="s">
        <v>845</v>
      </c>
      <c r="E304" s="61"/>
      <c r="F304" s="61"/>
      <c r="G304" s="61"/>
      <c r="H304" s="48" t="s">
        <v>553</v>
      </c>
      <c r="I304" s="13">
        <v>2027.6935</v>
      </c>
      <c r="J304" s="13">
        <v>0</v>
      </c>
      <c r="K304" s="13">
        <f t="shared" si="184"/>
        <v>0</v>
      </c>
      <c r="L304" s="13">
        <f t="shared" si="185"/>
        <v>0</v>
      </c>
      <c r="M304" s="13">
        <f t="shared" si="186"/>
        <v>0</v>
      </c>
      <c r="N304" s="13">
        <v>0</v>
      </c>
      <c r="O304" s="10" t="s">
        <v>851</v>
      </c>
      <c r="Z304" s="13">
        <f t="shared" si="187"/>
        <v>0</v>
      </c>
      <c r="AB304" s="13">
        <f t="shared" si="188"/>
        <v>0</v>
      </c>
      <c r="AC304" s="13">
        <f t="shared" si="189"/>
        <v>0</v>
      </c>
      <c r="AD304" s="13">
        <f t="shared" si="190"/>
        <v>0</v>
      </c>
      <c r="AE304" s="13">
        <f t="shared" si="191"/>
        <v>0</v>
      </c>
      <c r="AF304" s="13">
        <f t="shared" si="192"/>
        <v>0</v>
      </c>
      <c r="AG304" s="13">
        <f t="shared" si="193"/>
        <v>0</v>
      </c>
      <c r="AH304" s="13">
        <f t="shared" si="194"/>
        <v>0</v>
      </c>
      <c r="AI304" s="21" t="s">
        <v>242</v>
      </c>
      <c r="AJ304" s="13">
        <f t="shared" si="195"/>
        <v>0</v>
      </c>
      <c r="AK304" s="13">
        <f t="shared" si="196"/>
        <v>0</v>
      </c>
      <c r="AL304" s="13">
        <f t="shared" si="197"/>
        <v>0</v>
      </c>
      <c r="AN304" s="13">
        <v>21</v>
      </c>
      <c r="AO304" s="13">
        <f>J304*0</f>
        <v>0</v>
      </c>
      <c r="AP304" s="13">
        <f>J304*(1-0)</f>
        <v>0</v>
      </c>
      <c r="AQ304" s="32" t="s">
        <v>654</v>
      </c>
      <c r="AV304" s="13">
        <f t="shared" si="198"/>
        <v>0</v>
      </c>
      <c r="AW304" s="13">
        <f t="shared" si="199"/>
        <v>0</v>
      </c>
      <c r="AX304" s="13">
        <f t="shared" si="200"/>
        <v>0</v>
      </c>
      <c r="AY304" s="32" t="s">
        <v>1149</v>
      </c>
      <c r="AZ304" s="32" t="s">
        <v>793</v>
      </c>
      <c r="BA304" s="21" t="s">
        <v>902</v>
      </c>
      <c r="BC304" s="13">
        <f t="shared" si="201"/>
        <v>0</v>
      </c>
      <c r="BD304" s="13">
        <f t="shared" si="202"/>
        <v>0</v>
      </c>
      <c r="BE304" s="13">
        <v>0</v>
      </c>
      <c r="BF304" s="13">
        <f>304</f>
        <v>304</v>
      </c>
      <c r="BH304" s="13">
        <f t="shared" si="203"/>
        <v>0</v>
      </c>
      <c r="BI304" s="13">
        <f t="shared" si="204"/>
        <v>0</v>
      </c>
      <c r="BJ304" s="13">
        <f t="shared" si="205"/>
        <v>0</v>
      </c>
      <c r="BK304" s="13"/>
      <c r="BL304" s="13"/>
    </row>
    <row r="305" spans="1:64" ht="15" customHeight="1">
      <c r="A305" s="11" t="s">
        <v>370</v>
      </c>
      <c r="B305" s="48" t="s">
        <v>242</v>
      </c>
      <c r="C305" s="48" t="s">
        <v>1351</v>
      </c>
      <c r="D305" s="61" t="s">
        <v>896</v>
      </c>
      <c r="E305" s="61"/>
      <c r="F305" s="61"/>
      <c r="G305" s="61"/>
      <c r="H305" s="48" t="s">
        <v>1172</v>
      </c>
      <c r="I305" s="13">
        <v>350</v>
      </c>
      <c r="J305" s="13">
        <v>0</v>
      </c>
      <c r="K305" s="13">
        <f t="shared" si="184"/>
        <v>0</v>
      </c>
      <c r="L305" s="13">
        <f t="shared" si="185"/>
        <v>0</v>
      </c>
      <c r="M305" s="13">
        <f t="shared" si="186"/>
        <v>0</v>
      </c>
      <c r="N305" s="13">
        <v>0.001</v>
      </c>
      <c r="O305" s="10" t="s">
        <v>851</v>
      </c>
      <c r="Z305" s="13">
        <f t="shared" si="187"/>
        <v>0</v>
      </c>
      <c r="AB305" s="13">
        <f t="shared" si="188"/>
        <v>0</v>
      </c>
      <c r="AC305" s="13">
        <f t="shared" si="189"/>
        <v>0</v>
      </c>
      <c r="AD305" s="13">
        <f t="shared" si="190"/>
        <v>0</v>
      </c>
      <c r="AE305" s="13">
        <f t="shared" si="191"/>
        <v>0</v>
      </c>
      <c r="AF305" s="13">
        <f t="shared" si="192"/>
        <v>0</v>
      </c>
      <c r="AG305" s="13">
        <f t="shared" si="193"/>
        <v>0</v>
      </c>
      <c r="AH305" s="13">
        <f t="shared" si="194"/>
        <v>0</v>
      </c>
      <c r="AI305" s="21" t="s">
        <v>242</v>
      </c>
      <c r="AJ305" s="13">
        <f t="shared" si="195"/>
        <v>0</v>
      </c>
      <c r="AK305" s="13">
        <f t="shared" si="196"/>
        <v>0</v>
      </c>
      <c r="AL305" s="13">
        <f t="shared" si="197"/>
        <v>0</v>
      </c>
      <c r="AN305" s="13">
        <v>21</v>
      </c>
      <c r="AO305" s="13">
        <f>J305*1</f>
        <v>0</v>
      </c>
      <c r="AP305" s="13">
        <f>J305*(1-1)</f>
        <v>0</v>
      </c>
      <c r="AQ305" s="32" t="s">
        <v>1231</v>
      </c>
      <c r="AV305" s="13">
        <f t="shared" si="198"/>
        <v>0</v>
      </c>
      <c r="AW305" s="13">
        <f t="shared" si="199"/>
        <v>0</v>
      </c>
      <c r="AX305" s="13">
        <f t="shared" si="200"/>
        <v>0</v>
      </c>
      <c r="AY305" s="32" t="s">
        <v>1149</v>
      </c>
      <c r="AZ305" s="32" t="s">
        <v>793</v>
      </c>
      <c r="BA305" s="21" t="s">
        <v>902</v>
      </c>
      <c r="BC305" s="13">
        <f t="shared" si="201"/>
        <v>0</v>
      </c>
      <c r="BD305" s="13">
        <f t="shared" si="202"/>
        <v>0</v>
      </c>
      <c r="BE305" s="13">
        <v>0</v>
      </c>
      <c r="BF305" s="13">
        <f>305</f>
        <v>305</v>
      </c>
      <c r="BH305" s="13">
        <f t="shared" si="203"/>
        <v>0</v>
      </c>
      <c r="BI305" s="13">
        <f t="shared" si="204"/>
        <v>0</v>
      </c>
      <c r="BJ305" s="13">
        <f t="shared" si="205"/>
        <v>0</v>
      </c>
      <c r="BK305" s="13"/>
      <c r="BL305" s="13"/>
    </row>
    <row r="306" spans="1:15" ht="15" customHeight="1">
      <c r="A306" s="30" t="s">
        <v>862</v>
      </c>
      <c r="B306" s="18" t="s">
        <v>1104</v>
      </c>
      <c r="C306" s="18" t="s">
        <v>862</v>
      </c>
      <c r="D306" s="73" t="s">
        <v>529</v>
      </c>
      <c r="E306" s="73"/>
      <c r="F306" s="73"/>
      <c r="G306" s="73"/>
      <c r="H306" s="15" t="s">
        <v>1148</v>
      </c>
      <c r="I306" s="15" t="s">
        <v>1148</v>
      </c>
      <c r="J306" s="15" t="s">
        <v>1148</v>
      </c>
      <c r="K306" s="56">
        <f>K307+K320+K323+K326+K329+K332+K334+K336+K342+K346</f>
        <v>0</v>
      </c>
      <c r="L306" s="56">
        <f>L307+L320+L323+L326+L329+L332+L334+L336+L342+L346</f>
        <v>0</v>
      </c>
      <c r="M306" s="56">
        <f>M307+M320+M323+M326+M329+M332+M334+M336+M342+M346</f>
        <v>0</v>
      </c>
      <c r="N306" s="21" t="s">
        <v>862</v>
      </c>
      <c r="O306" s="47" t="s">
        <v>862</v>
      </c>
    </row>
    <row r="307" spans="1:47" ht="15" customHeight="1">
      <c r="A307" s="30" t="s">
        <v>862</v>
      </c>
      <c r="B307" s="18" t="s">
        <v>1104</v>
      </c>
      <c r="C307" s="18" t="s">
        <v>1031</v>
      </c>
      <c r="D307" s="73" t="s">
        <v>675</v>
      </c>
      <c r="E307" s="73"/>
      <c r="F307" s="73"/>
      <c r="G307" s="73"/>
      <c r="H307" s="15" t="s">
        <v>1148</v>
      </c>
      <c r="I307" s="15" t="s">
        <v>1148</v>
      </c>
      <c r="J307" s="15" t="s">
        <v>1148</v>
      </c>
      <c r="K307" s="56">
        <f>SUM(K308:K319)</f>
        <v>0</v>
      </c>
      <c r="L307" s="56">
        <f>SUM(L308:L319)</f>
        <v>0</v>
      </c>
      <c r="M307" s="56">
        <f>SUM(M308:M319)</f>
        <v>0</v>
      </c>
      <c r="N307" s="21" t="s">
        <v>862</v>
      </c>
      <c r="O307" s="47" t="s">
        <v>862</v>
      </c>
      <c r="AI307" s="21" t="s">
        <v>1104</v>
      </c>
      <c r="AS307" s="56">
        <f>SUM(AJ308:AJ319)</f>
        <v>0</v>
      </c>
      <c r="AT307" s="56">
        <f>SUM(AK308:AK319)</f>
        <v>0</v>
      </c>
      <c r="AU307" s="56">
        <f>SUM(AL308:AL319)</f>
        <v>0</v>
      </c>
    </row>
    <row r="308" spans="1:64" ht="15" customHeight="1">
      <c r="A308" s="11" t="s">
        <v>622</v>
      </c>
      <c r="B308" s="48" t="s">
        <v>1104</v>
      </c>
      <c r="C308" s="48" t="s">
        <v>728</v>
      </c>
      <c r="D308" s="61" t="s">
        <v>614</v>
      </c>
      <c r="E308" s="61"/>
      <c r="F308" s="61"/>
      <c r="G308" s="61"/>
      <c r="H308" s="48" t="s">
        <v>1216</v>
      </c>
      <c r="I308" s="13">
        <v>170.2</v>
      </c>
      <c r="J308" s="13">
        <v>0</v>
      </c>
      <c r="K308" s="13">
        <f aca="true" t="shared" si="206" ref="K308:K319">I308*AO308</f>
        <v>0</v>
      </c>
      <c r="L308" s="13">
        <f aca="true" t="shared" si="207" ref="L308:L319">I308*AP308</f>
        <v>0</v>
      </c>
      <c r="M308" s="13">
        <f aca="true" t="shared" si="208" ref="M308:M319">I308*J308</f>
        <v>0</v>
      </c>
      <c r="N308" s="13">
        <v>0</v>
      </c>
      <c r="O308" s="10" t="s">
        <v>851</v>
      </c>
      <c r="Z308" s="13">
        <f aca="true" t="shared" si="209" ref="Z308:Z319">IF(AQ308="5",BJ308,0)</f>
        <v>0</v>
      </c>
      <c r="AB308" s="13">
        <f aca="true" t="shared" si="210" ref="AB308:AB319">IF(AQ308="1",BH308,0)</f>
        <v>0</v>
      </c>
      <c r="AC308" s="13">
        <f aca="true" t="shared" si="211" ref="AC308:AC319">IF(AQ308="1",BI308,0)</f>
        <v>0</v>
      </c>
      <c r="AD308" s="13">
        <f aca="true" t="shared" si="212" ref="AD308:AD319">IF(AQ308="7",BH308,0)</f>
        <v>0</v>
      </c>
      <c r="AE308" s="13">
        <f aca="true" t="shared" si="213" ref="AE308:AE319">IF(AQ308="7",BI308,0)</f>
        <v>0</v>
      </c>
      <c r="AF308" s="13">
        <f aca="true" t="shared" si="214" ref="AF308:AF319">IF(AQ308="2",BH308,0)</f>
        <v>0</v>
      </c>
      <c r="AG308" s="13">
        <f aca="true" t="shared" si="215" ref="AG308:AG319">IF(AQ308="2",BI308,0)</f>
        <v>0</v>
      </c>
      <c r="AH308" s="13">
        <f aca="true" t="shared" si="216" ref="AH308:AH319">IF(AQ308="0",BJ308,0)</f>
        <v>0</v>
      </c>
      <c r="AI308" s="21" t="s">
        <v>1104</v>
      </c>
      <c r="AJ308" s="13">
        <f aca="true" t="shared" si="217" ref="AJ308:AJ319">IF(AN308=0,M308,0)</f>
        <v>0</v>
      </c>
      <c r="AK308" s="13">
        <f aca="true" t="shared" si="218" ref="AK308:AK319">IF(AN308=15,M308,0)</f>
        <v>0</v>
      </c>
      <c r="AL308" s="13">
        <f aca="true" t="shared" si="219" ref="AL308:AL319">IF(AN308=21,M308,0)</f>
        <v>0</v>
      </c>
      <c r="AN308" s="13">
        <v>21</v>
      </c>
      <c r="AO308" s="13">
        <f aca="true" t="shared" si="220" ref="AO308:AO316">J308*0</f>
        <v>0</v>
      </c>
      <c r="AP308" s="13">
        <f aca="true" t="shared" si="221" ref="AP308:AP316">J308*(1-0)</f>
        <v>0</v>
      </c>
      <c r="AQ308" s="32" t="s">
        <v>1231</v>
      </c>
      <c r="AV308" s="13">
        <f aca="true" t="shared" si="222" ref="AV308:AV319">AW308+AX308</f>
        <v>0</v>
      </c>
      <c r="AW308" s="13">
        <f aca="true" t="shared" si="223" ref="AW308:AW319">I308*AO308</f>
        <v>0</v>
      </c>
      <c r="AX308" s="13">
        <f aca="true" t="shared" si="224" ref="AX308:AX319">I308*AP308</f>
        <v>0</v>
      </c>
      <c r="AY308" s="32" t="s">
        <v>133</v>
      </c>
      <c r="AZ308" s="32" t="s">
        <v>585</v>
      </c>
      <c r="BA308" s="21" t="s">
        <v>980</v>
      </c>
      <c r="BC308" s="13">
        <f aca="true" t="shared" si="225" ref="BC308:BC319">AW308+AX308</f>
        <v>0</v>
      </c>
      <c r="BD308" s="13">
        <f aca="true" t="shared" si="226" ref="BD308:BD319">J308/(100-BE308)*100</f>
        <v>0</v>
      </c>
      <c r="BE308" s="13">
        <v>0</v>
      </c>
      <c r="BF308" s="13">
        <f>308</f>
        <v>308</v>
      </c>
      <c r="BH308" s="13">
        <f aca="true" t="shared" si="227" ref="BH308:BH319">I308*AO308</f>
        <v>0</v>
      </c>
      <c r="BI308" s="13">
        <f aca="true" t="shared" si="228" ref="BI308:BI319">I308*AP308</f>
        <v>0</v>
      </c>
      <c r="BJ308" s="13">
        <f aca="true" t="shared" si="229" ref="BJ308:BJ319">I308*J308</f>
        <v>0</v>
      </c>
      <c r="BK308" s="13"/>
      <c r="BL308" s="13">
        <v>11</v>
      </c>
    </row>
    <row r="309" spans="1:64" ht="15" customHeight="1">
      <c r="A309" s="11" t="s">
        <v>921</v>
      </c>
      <c r="B309" s="48" t="s">
        <v>1104</v>
      </c>
      <c r="C309" s="48" t="s">
        <v>1389</v>
      </c>
      <c r="D309" s="61" t="s">
        <v>708</v>
      </c>
      <c r="E309" s="61"/>
      <c r="F309" s="61"/>
      <c r="G309" s="61"/>
      <c r="H309" s="48" t="s">
        <v>1216</v>
      </c>
      <c r="I309" s="13">
        <v>280.6</v>
      </c>
      <c r="J309" s="13">
        <v>0</v>
      </c>
      <c r="K309" s="13">
        <f t="shared" si="206"/>
        <v>0</v>
      </c>
      <c r="L309" s="13">
        <f t="shared" si="207"/>
        <v>0</v>
      </c>
      <c r="M309" s="13">
        <f t="shared" si="208"/>
        <v>0</v>
      </c>
      <c r="N309" s="13">
        <v>0</v>
      </c>
      <c r="O309" s="10" t="s">
        <v>851</v>
      </c>
      <c r="Z309" s="13">
        <f t="shared" si="209"/>
        <v>0</v>
      </c>
      <c r="AB309" s="13">
        <f t="shared" si="210"/>
        <v>0</v>
      </c>
      <c r="AC309" s="13">
        <f t="shared" si="211"/>
        <v>0</v>
      </c>
      <c r="AD309" s="13">
        <f t="shared" si="212"/>
        <v>0</v>
      </c>
      <c r="AE309" s="13">
        <f t="shared" si="213"/>
        <v>0</v>
      </c>
      <c r="AF309" s="13">
        <f t="shared" si="214"/>
        <v>0</v>
      </c>
      <c r="AG309" s="13">
        <f t="shared" si="215"/>
        <v>0</v>
      </c>
      <c r="AH309" s="13">
        <f t="shared" si="216"/>
        <v>0</v>
      </c>
      <c r="AI309" s="21" t="s">
        <v>1104</v>
      </c>
      <c r="AJ309" s="13">
        <f t="shared" si="217"/>
        <v>0</v>
      </c>
      <c r="AK309" s="13">
        <f t="shared" si="218"/>
        <v>0</v>
      </c>
      <c r="AL309" s="13">
        <f t="shared" si="219"/>
        <v>0</v>
      </c>
      <c r="AN309" s="13">
        <v>21</v>
      </c>
      <c r="AO309" s="13">
        <f t="shared" si="220"/>
        <v>0</v>
      </c>
      <c r="AP309" s="13">
        <f t="shared" si="221"/>
        <v>0</v>
      </c>
      <c r="AQ309" s="32" t="s">
        <v>1231</v>
      </c>
      <c r="AV309" s="13">
        <f t="shared" si="222"/>
        <v>0</v>
      </c>
      <c r="AW309" s="13">
        <f t="shared" si="223"/>
        <v>0</v>
      </c>
      <c r="AX309" s="13">
        <f t="shared" si="224"/>
        <v>0</v>
      </c>
      <c r="AY309" s="32" t="s">
        <v>133</v>
      </c>
      <c r="AZ309" s="32" t="s">
        <v>585</v>
      </c>
      <c r="BA309" s="21" t="s">
        <v>980</v>
      </c>
      <c r="BC309" s="13">
        <f t="shared" si="225"/>
        <v>0</v>
      </c>
      <c r="BD309" s="13">
        <f t="shared" si="226"/>
        <v>0</v>
      </c>
      <c r="BE309" s="13">
        <v>0</v>
      </c>
      <c r="BF309" s="13">
        <f>309</f>
        <v>309</v>
      </c>
      <c r="BH309" s="13">
        <f t="shared" si="227"/>
        <v>0</v>
      </c>
      <c r="BI309" s="13">
        <f t="shared" si="228"/>
        <v>0</v>
      </c>
      <c r="BJ309" s="13">
        <f t="shared" si="229"/>
        <v>0</v>
      </c>
      <c r="BK309" s="13"/>
      <c r="BL309" s="13">
        <v>11</v>
      </c>
    </row>
    <row r="310" spans="1:64" ht="15" customHeight="1">
      <c r="A310" s="11" t="s">
        <v>154</v>
      </c>
      <c r="B310" s="48" t="s">
        <v>1104</v>
      </c>
      <c r="C310" s="48" t="s">
        <v>279</v>
      </c>
      <c r="D310" s="61" t="s">
        <v>404</v>
      </c>
      <c r="E310" s="61"/>
      <c r="F310" s="61"/>
      <c r="G310" s="61"/>
      <c r="H310" s="48" t="s">
        <v>553</v>
      </c>
      <c r="I310" s="13">
        <v>61.732</v>
      </c>
      <c r="J310" s="13">
        <v>0</v>
      </c>
      <c r="K310" s="13">
        <f t="shared" si="206"/>
        <v>0</v>
      </c>
      <c r="L310" s="13">
        <f t="shared" si="207"/>
        <v>0</v>
      </c>
      <c r="M310" s="13">
        <f t="shared" si="208"/>
        <v>0</v>
      </c>
      <c r="N310" s="13">
        <v>0</v>
      </c>
      <c r="O310" s="10" t="s">
        <v>851</v>
      </c>
      <c r="Z310" s="13">
        <f t="shared" si="209"/>
        <v>0</v>
      </c>
      <c r="AB310" s="13">
        <f t="shared" si="210"/>
        <v>0</v>
      </c>
      <c r="AC310" s="13">
        <f t="shared" si="211"/>
        <v>0</v>
      </c>
      <c r="AD310" s="13">
        <f t="shared" si="212"/>
        <v>0</v>
      </c>
      <c r="AE310" s="13">
        <f t="shared" si="213"/>
        <v>0</v>
      </c>
      <c r="AF310" s="13">
        <f t="shared" si="214"/>
        <v>0</v>
      </c>
      <c r="AG310" s="13">
        <f t="shared" si="215"/>
        <v>0</v>
      </c>
      <c r="AH310" s="13">
        <f t="shared" si="216"/>
        <v>0</v>
      </c>
      <c r="AI310" s="21" t="s">
        <v>1104</v>
      </c>
      <c r="AJ310" s="13">
        <f t="shared" si="217"/>
        <v>0</v>
      </c>
      <c r="AK310" s="13">
        <f t="shared" si="218"/>
        <v>0</v>
      </c>
      <c r="AL310" s="13">
        <f t="shared" si="219"/>
        <v>0</v>
      </c>
      <c r="AN310" s="13">
        <v>21</v>
      </c>
      <c r="AO310" s="13">
        <f t="shared" si="220"/>
        <v>0</v>
      </c>
      <c r="AP310" s="13">
        <f t="shared" si="221"/>
        <v>0</v>
      </c>
      <c r="AQ310" s="32" t="s">
        <v>654</v>
      </c>
      <c r="AV310" s="13">
        <f t="shared" si="222"/>
        <v>0</v>
      </c>
      <c r="AW310" s="13">
        <f t="shared" si="223"/>
        <v>0</v>
      </c>
      <c r="AX310" s="13">
        <f t="shared" si="224"/>
        <v>0</v>
      </c>
      <c r="AY310" s="32" t="s">
        <v>133</v>
      </c>
      <c r="AZ310" s="32" t="s">
        <v>585</v>
      </c>
      <c r="BA310" s="21" t="s">
        <v>980</v>
      </c>
      <c r="BC310" s="13">
        <f t="shared" si="225"/>
        <v>0</v>
      </c>
      <c r="BD310" s="13">
        <f t="shared" si="226"/>
        <v>0</v>
      </c>
      <c r="BE310" s="13">
        <v>0</v>
      </c>
      <c r="BF310" s="13">
        <f>310</f>
        <v>310</v>
      </c>
      <c r="BH310" s="13">
        <f t="shared" si="227"/>
        <v>0</v>
      </c>
      <c r="BI310" s="13">
        <f t="shared" si="228"/>
        <v>0</v>
      </c>
      <c r="BJ310" s="13">
        <f t="shared" si="229"/>
        <v>0</v>
      </c>
      <c r="BK310" s="13"/>
      <c r="BL310" s="13">
        <v>11</v>
      </c>
    </row>
    <row r="311" spans="1:64" ht="15" customHeight="1">
      <c r="A311" s="11" t="s">
        <v>1236</v>
      </c>
      <c r="B311" s="48" t="s">
        <v>1104</v>
      </c>
      <c r="C311" s="48" t="s">
        <v>890</v>
      </c>
      <c r="D311" s="61" t="s">
        <v>1160</v>
      </c>
      <c r="E311" s="61"/>
      <c r="F311" s="61"/>
      <c r="G311" s="61"/>
      <c r="H311" s="48" t="s">
        <v>1018</v>
      </c>
      <c r="I311" s="13">
        <v>46</v>
      </c>
      <c r="J311" s="13">
        <v>0</v>
      </c>
      <c r="K311" s="13">
        <f t="shared" si="206"/>
        <v>0</v>
      </c>
      <c r="L311" s="13">
        <f t="shared" si="207"/>
        <v>0</v>
      </c>
      <c r="M311" s="13">
        <f t="shared" si="208"/>
        <v>0</v>
      </c>
      <c r="N311" s="13">
        <v>0</v>
      </c>
      <c r="O311" s="10" t="s">
        <v>851</v>
      </c>
      <c r="Z311" s="13">
        <f t="shared" si="209"/>
        <v>0</v>
      </c>
      <c r="AB311" s="13">
        <f t="shared" si="210"/>
        <v>0</v>
      </c>
      <c r="AC311" s="13">
        <f t="shared" si="211"/>
        <v>0</v>
      </c>
      <c r="AD311" s="13">
        <f t="shared" si="212"/>
        <v>0</v>
      </c>
      <c r="AE311" s="13">
        <f t="shared" si="213"/>
        <v>0</v>
      </c>
      <c r="AF311" s="13">
        <f t="shared" si="214"/>
        <v>0</v>
      </c>
      <c r="AG311" s="13">
        <f t="shared" si="215"/>
        <v>0</v>
      </c>
      <c r="AH311" s="13">
        <f t="shared" si="216"/>
        <v>0</v>
      </c>
      <c r="AI311" s="21" t="s">
        <v>1104</v>
      </c>
      <c r="AJ311" s="13">
        <f t="shared" si="217"/>
        <v>0</v>
      </c>
      <c r="AK311" s="13">
        <f t="shared" si="218"/>
        <v>0</v>
      </c>
      <c r="AL311" s="13">
        <f t="shared" si="219"/>
        <v>0</v>
      </c>
      <c r="AN311" s="13">
        <v>21</v>
      </c>
      <c r="AO311" s="13">
        <f t="shared" si="220"/>
        <v>0</v>
      </c>
      <c r="AP311" s="13">
        <f t="shared" si="221"/>
        <v>0</v>
      </c>
      <c r="AQ311" s="32" t="s">
        <v>1231</v>
      </c>
      <c r="AV311" s="13">
        <f t="shared" si="222"/>
        <v>0</v>
      </c>
      <c r="AW311" s="13">
        <f t="shared" si="223"/>
        <v>0</v>
      </c>
      <c r="AX311" s="13">
        <f t="shared" si="224"/>
        <v>0</v>
      </c>
      <c r="AY311" s="32" t="s">
        <v>133</v>
      </c>
      <c r="AZ311" s="32" t="s">
        <v>585</v>
      </c>
      <c r="BA311" s="21" t="s">
        <v>980</v>
      </c>
      <c r="BC311" s="13">
        <f t="shared" si="225"/>
        <v>0</v>
      </c>
      <c r="BD311" s="13">
        <f t="shared" si="226"/>
        <v>0</v>
      </c>
      <c r="BE311" s="13">
        <v>0</v>
      </c>
      <c r="BF311" s="13">
        <f>311</f>
        <v>311</v>
      </c>
      <c r="BH311" s="13">
        <f t="shared" si="227"/>
        <v>0</v>
      </c>
      <c r="BI311" s="13">
        <f t="shared" si="228"/>
        <v>0</v>
      </c>
      <c r="BJ311" s="13">
        <f t="shared" si="229"/>
        <v>0</v>
      </c>
      <c r="BK311" s="13"/>
      <c r="BL311" s="13">
        <v>11</v>
      </c>
    </row>
    <row r="312" spans="1:64" ht="15" customHeight="1">
      <c r="A312" s="11" t="s">
        <v>62</v>
      </c>
      <c r="B312" s="48" t="s">
        <v>1104</v>
      </c>
      <c r="C312" s="48" t="s">
        <v>1290</v>
      </c>
      <c r="D312" s="61" t="s">
        <v>509</v>
      </c>
      <c r="E312" s="61"/>
      <c r="F312" s="61"/>
      <c r="G312" s="61"/>
      <c r="H312" s="48" t="s">
        <v>1216</v>
      </c>
      <c r="I312" s="13">
        <v>23</v>
      </c>
      <c r="J312" s="13">
        <v>0</v>
      </c>
      <c r="K312" s="13">
        <f t="shared" si="206"/>
        <v>0</v>
      </c>
      <c r="L312" s="13">
        <f t="shared" si="207"/>
        <v>0</v>
      </c>
      <c r="M312" s="13">
        <f t="shared" si="208"/>
        <v>0</v>
      </c>
      <c r="N312" s="13">
        <v>0</v>
      </c>
      <c r="O312" s="10" t="s">
        <v>851</v>
      </c>
      <c r="Z312" s="13">
        <f t="shared" si="209"/>
        <v>0</v>
      </c>
      <c r="AB312" s="13">
        <f t="shared" si="210"/>
        <v>0</v>
      </c>
      <c r="AC312" s="13">
        <f t="shared" si="211"/>
        <v>0</v>
      </c>
      <c r="AD312" s="13">
        <f t="shared" si="212"/>
        <v>0</v>
      </c>
      <c r="AE312" s="13">
        <f t="shared" si="213"/>
        <v>0</v>
      </c>
      <c r="AF312" s="13">
        <f t="shared" si="214"/>
        <v>0</v>
      </c>
      <c r="AG312" s="13">
        <f t="shared" si="215"/>
        <v>0</v>
      </c>
      <c r="AH312" s="13">
        <f t="shared" si="216"/>
        <v>0</v>
      </c>
      <c r="AI312" s="21" t="s">
        <v>1104</v>
      </c>
      <c r="AJ312" s="13">
        <f t="shared" si="217"/>
        <v>0</v>
      </c>
      <c r="AK312" s="13">
        <f t="shared" si="218"/>
        <v>0</v>
      </c>
      <c r="AL312" s="13">
        <f t="shared" si="219"/>
        <v>0</v>
      </c>
      <c r="AN312" s="13">
        <v>21</v>
      </c>
      <c r="AO312" s="13">
        <f t="shared" si="220"/>
        <v>0</v>
      </c>
      <c r="AP312" s="13">
        <f t="shared" si="221"/>
        <v>0</v>
      </c>
      <c r="AQ312" s="32" t="s">
        <v>1231</v>
      </c>
      <c r="AV312" s="13">
        <f t="shared" si="222"/>
        <v>0</v>
      </c>
      <c r="AW312" s="13">
        <f t="shared" si="223"/>
        <v>0</v>
      </c>
      <c r="AX312" s="13">
        <f t="shared" si="224"/>
        <v>0</v>
      </c>
      <c r="AY312" s="32" t="s">
        <v>133</v>
      </c>
      <c r="AZ312" s="32" t="s">
        <v>585</v>
      </c>
      <c r="BA312" s="21" t="s">
        <v>980</v>
      </c>
      <c r="BC312" s="13">
        <f t="shared" si="225"/>
        <v>0</v>
      </c>
      <c r="BD312" s="13">
        <f t="shared" si="226"/>
        <v>0</v>
      </c>
      <c r="BE312" s="13">
        <v>0</v>
      </c>
      <c r="BF312" s="13">
        <f>312</f>
        <v>312</v>
      </c>
      <c r="BH312" s="13">
        <f t="shared" si="227"/>
        <v>0</v>
      </c>
      <c r="BI312" s="13">
        <f t="shared" si="228"/>
        <v>0</v>
      </c>
      <c r="BJ312" s="13">
        <f t="shared" si="229"/>
        <v>0</v>
      </c>
      <c r="BK312" s="13"/>
      <c r="BL312" s="13">
        <v>11</v>
      </c>
    </row>
    <row r="313" spans="1:64" ht="15" customHeight="1">
      <c r="A313" s="11" t="s">
        <v>686</v>
      </c>
      <c r="B313" s="48" t="s">
        <v>1104</v>
      </c>
      <c r="C313" s="48" t="s">
        <v>298</v>
      </c>
      <c r="D313" s="61" t="s">
        <v>413</v>
      </c>
      <c r="E313" s="61"/>
      <c r="F313" s="61"/>
      <c r="G313" s="61"/>
      <c r="H313" s="48" t="s">
        <v>1018</v>
      </c>
      <c r="I313" s="13">
        <v>280.6</v>
      </c>
      <c r="J313" s="13">
        <v>0</v>
      </c>
      <c r="K313" s="13">
        <f t="shared" si="206"/>
        <v>0</v>
      </c>
      <c r="L313" s="13">
        <f t="shared" si="207"/>
        <v>0</v>
      </c>
      <c r="M313" s="13">
        <f t="shared" si="208"/>
        <v>0</v>
      </c>
      <c r="N313" s="13">
        <v>0</v>
      </c>
      <c r="O313" s="10" t="s">
        <v>851</v>
      </c>
      <c r="Z313" s="13">
        <f t="shared" si="209"/>
        <v>0</v>
      </c>
      <c r="AB313" s="13">
        <f t="shared" si="210"/>
        <v>0</v>
      </c>
      <c r="AC313" s="13">
        <f t="shared" si="211"/>
        <v>0</v>
      </c>
      <c r="AD313" s="13">
        <f t="shared" si="212"/>
        <v>0</v>
      </c>
      <c r="AE313" s="13">
        <f t="shared" si="213"/>
        <v>0</v>
      </c>
      <c r="AF313" s="13">
        <f t="shared" si="214"/>
        <v>0</v>
      </c>
      <c r="AG313" s="13">
        <f t="shared" si="215"/>
        <v>0</v>
      </c>
      <c r="AH313" s="13">
        <f t="shared" si="216"/>
        <v>0</v>
      </c>
      <c r="AI313" s="21" t="s">
        <v>1104</v>
      </c>
      <c r="AJ313" s="13">
        <f t="shared" si="217"/>
        <v>0</v>
      </c>
      <c r="AK313" s="13">
        <f t="shared" si="218"/>
        <v>0</v>
      </c>
      <c r="AL313" s="13">
        <f t="shared" si="219"/>
        <v>0</v>
      </c>
      <c r="AN313" s="13">
        <v>21</v>
      </c>
      <c r="AO313" s="13">
        <f t="shared" si="220"/>
        <v>0</v>
      </c>
      <c r="AP313" s="13">
        <f t="shared" si="221"/>
        <v>0</v>
      </c>
      <c r="AQ313" s="32" t="s">
        <v>1231</v>
      </c>
      <c r="AV313" s="13">
        <f t="shared" si="222"/>
        <v>0</v>
      </c>
      <c r="AW313" s="13">
        <f t="shared" si="223"/>
        <v>0</v>
      </c>
      <c r="AX313" s="13">
        <f t="shared" si="224"/>
        <v>0</v>
      </c>
      <c r="AY313" s="32" t="s">
        <v>133</v>
      </c>
      <c r="AZ313" s="32" t="s">
        <v>585</v>
      </c>
      <c r="BA313" s="21" t="s">
        <v>980</v>
      </c>
      <c r="BC313" s="13">
        <f t="shared" si="225"/>
        <v>0</v>
      </c>
      <c r="BD313" s="13">
        <f t="shared" si="226"/>
        <v>0</v>
      </c>
      <c r="BE313" s="13">
        <v>0</v>
      </c>
      <c r="BF313" s="13">
        <f>313</f>
        <v>313</v>
      </c>
      <c r="BH313" s="13">
        <f t="shared" si="227"/>
        <v>0</v>
      </c>
      <c r="BI313" s="13">
        <f t="shared" si="228"/>
        <v>0</v>
      </c>
      <c r="BJ313" s="13">
        <f t="shared" si="229"/>
        <v>0</v>
      </c>
      <c r="BK313" s="13"/>
      <c r="BL313" s="13">
        <v>11</v>
      </c>
    </row>
    <row r="314" spans="1:64" ht="15" customHeight="1">
      <c r="A314" s="11" t="s">
        <v>1350</v>
      </c>
      <c r="B314" s="48" t="s">
        <v>1104</v>
      </c>
      <c r="C314" s="48" t="s">
        <v>953</v>
      </c>
      <c r="D314" s="61" t="s">
        <v>644</v>
      </c>
      <c r="E314" s="61"/>
      <c r="F314" s="61"/>
      <c r="G314" s="61"/>
      <c r="H314" s="48" t="s">
        <v>553</v>
      </c>
      <c r="I314" s="13">
        <v>11.224</v>
      </c>
      <c r="J314" s="13">
        <v>0</v>
      </c>
      <c r="K314" s="13">
        <f t="shared" si="206"/>
        <v>0</v>
      </c>
      <c r="L314" s="13">
        <f t="shared" si="207"/>
        <v>0</v>
      </c>
      <c r="M314" s="13">
        <f t="shared" si="208"/>
        <v>0</v>
      </c>
      <c r="N314" s="13">
        <v>0</v>
      </c>
      <c r="O314" s="10" t="s">
        <v>851</v>
      </c>
      <c r="Z314" s="13">
        <f t="shared" si="209"/>
        <v>0</v>
      </c>
      <c r="AB314" s="13">
        <f t="shared" si="210"/>
        <v>0</v>
      </c>
      <c r="AC314" s="13">
        <f t="shared" si="211"/>
        <v>0</v>
      </c>
      <c r="AD314" s="13">
        <f t="shared" si="212"/>
        <v>0</v>
      </c>
      <c r="AE314" s="13">
        <f t="shared" si="213"/>
        <v>0</v>
      </c>
      <c r="AF314" s="13">
        <f t="shared" si="214"/>
        <v>0</v>
      </c>
      <c r="AG314" s="13">
        <f t="shared" si="215"/>
        <v>0</v>
      </c>
      <c r="AH314" s="13">
        <f t="shared" si="216"/>
        <v>0</v>
      </c>
      <c r="AI314" s="21" t="s">
        <v>1104</v>
      </c>
      <c r="AJ314" s="13">
        <f t="shared" si="217"/>
        <v>0</v>
      </c>
      <c r="AK314" s="13">
        <f t="shared" si="218"/>
        <v>0</v>
      </c>
      <c r="AL314" s="13">
        <f t="shared" si="219"/>
        <v>0</v>
      </c>
      <c r="AN314" s="13">
        <v>21</v>
      </c>
      <c r="AO314" s="13">
        <f t="shared" si="220"/>
        <v>0</v>
      </c>
      <c r="AP314" s="13">
        <f t="shared" si="221"/>
        <v>0</v>
      </c>
      <c r="AQ314" s="32" t="s">
        <v>654</v>
      </c>
      <c r="AV314" s="13">
        <f t="shared" si="222"/>
        <v>0</v>
      </c>
      <c r="AW314" s="13">
        <f t="shared" si="223"/>
        <v>0</v>
      </c>
      <c r="AX314" s="13">
        <f t="shared" si="224"/>
        <v>0</v>
      </c>
      <c r="AY314" s="32" t="s">
        <v>133</v>
      </c>
      <c r="AZ314" s="32" t="s">
        <v>585</v>
      </c>
      <c r="BA314" s="21" t="s">
        <v>980</v>
      </c>
      <c r="BC314" s="13">
        <f t="shared" si="225"/>
        <v>0</v>
      </c>
      <c r="BD314" s="13">
        <f t="shared" si="226"/>
        <v>0</v>
      </c>
      <c r="BE314" s="13">
        <v>0</v>
      </c>
      <c r="BF314" s="13">
        <f>314</f>
        <v>314</v>
      </c>
      <c r="BH314" s="13">
        <f t="shared" si="227"/>
        <v>0</v>
      </c>
      <c r="BI314" s="13">
        <f t="shared" si="228"/>
        <v>0</v>
      </c>
      <c r="BJ314" s="13">
        <f t="shared" si="229"/>
        <v>0</v>
      </c>
      <c r="BK314" s="13"/>
      <c r="BL314" s="13">
        <v>11</v>
      </c>
    </row>
    <row r="315" spans="1:64" ht="15" customHeight="1">
      <c r="A315" s="11" t="s">
        <v>1036</v>
      </c>
      <c r="B315" s="48" t="s">
        <v>1104</v>
      </c>
      <c r="C315" s="48" t="s">
        <v>0</v>
      </c>
      <c r="D315" s="61" t="s">
        <v>308</v>
      </c>
      <c r="E315" s="61"/>
      <c r="F315" s="61"/>
      <c r="G315" s="61"/>
      <c r="H315" s="48" t="s">
        <v>553</v>
      </c>
      <c r="I315" s="13">
        <v>213.256</v>
      </c>
      <c r="J315" s="13">
        <v>0</v>
      </c>
      <c r="K315" s="13">
        <f t="shared" si="206"/>
        <v>0</v>
      </c>
      <c r="L315" s="13">
        <f t="shared" si="207"/>
        <v>0</v>
      </c>
      <c r="M315" s="13">
        <f t="shared" si="208"/>
        <v>0</v>
      </c>
      <c r="N315" s="13">
        <v>0</v>
      </c>
      <c r="O315" s="10" t="s">
        <v>851</v>
      </c>
      <c r="Z315" s="13">
        <f t="shared" si="209"/>
        <v>0</v>
      </c>
      <c r="AB315" s="13">
        <f t="shared" si="210"/>
        <v>0</v>
      </c>
      <c r="AC315" s="13">
        <f t="shared" si="211"/>
        <v>0</v>
      </c>
      <c r="AD315" s="13">
        <f t="shared" si="212"/>
        <v>0</v>
      </c>
      <c r="AE315" s="13">
        <f t="shared" si="213"/>
        <v>0</v>
      </c>
      <c r="AF315" s="13">
        <f t="shared" si="214"/>
        <v>0</v>
      </c>
      <c r="AG315" s="13">
        <f t="shared" si="215"/>
        <v>0</v>
      </c>
      <c r="AH315" s="13">
        <f t="shared" si="216"/>
        <v>0</v>
      </c>
      <c r="AI315" s="21" t="s">
        <v>1104</v>
      </c>
      <c r="AJ315" s="13">
        <f t="shared" si="217"/>
        <v>0</v>
      </c>
      <c r="AK315" s="13">
        <f t="shared" si="218"/>
        <v>0</v>
      </c>
      <c r="AL315" s="13">
        <f t="shared" si="219"/>
        <v>0</v>
      </c>
      <c r="AN315" s="13">
        <v>21</v>
      </c>
      <c r="AO315" s="13">
        <f t="shared" si="220"/>
        <v>0</v>
      </c>
      <c r="AP315" s="13">
        <f t="shared" si="221"/>
        <v>0</v>
      </c>
      <c r="AQ315" s="32" t="s">
        <v>654</v>
      </c>
      <c r="AV315" s="13">
        <f t="shared" si="222"/>
        <v>0</v>
      </c>
      <c r="AW315" s="13">
        <f t="shared" si="223"/>
        <v>0</v>
      </c>
      <c r="AX315" s="13">
        <f t="shared" si="224"/>
        <v>0</v>
      </c>
      <c r="AY315" s="32" t="s">
        <v>133</v>
      </c>
      <c r="AZ315" s="32" t="s">
        <v>585</v>
      </c>
      <c r="BA315" s="21" t="s">
        <v>980</v>
      </c>
      <c r="BC315" s="13">
        <f t="shared" si="225"/>
        <v>0</v>
      </c>
      <c r="BD315" s="13">
        <f t="shared" si="226"/>
        <v>0</v>
      </c>
      <c r="BE315" s="13">
        <v>0</v>
      </c>
      <c r="BF315" s="13">
        <f>315</f>
        <v>315</v>
      </c>
      <c r="BH315" s="13">
        <f t="shared" si="227"/>
        <v>0</v>
      </c>
      <c r="BI315" s="13">
        <f t="shared" si="228"/>
        <v>0</v>
      </c>
      <c r="BJ315" s="13">
        <f t="shared" si="229"/>
        <v>0</v>
      </c>
      <c r="BK315" s="13"/>
      <c r="BL315" s="13">
        <v>11</v>
      </c>
    </row>
    <row r="316" spans="1:64" ht="15" customHeight="1">
      <c r="A316" s="11" t="s">
        <v>804</v>
      </c>
      <c r="B316" s="48" t="s">
        <v>1104</v>
      </c>
      <c r="C316" s="48" t="s">
        <v>244</v>
      </c>
      <c r="D316" s="61" t="s">
        <v>54</v>
      </c>
      <c r="E316" s="61"/>
      <c r="F316" s="61"/>
      <c r="G316" s="61"/>
      <c r="H316" s="48" t="s">
        <v>553</v>
      </c>
      <c r="I316" s="13">
        <v>11.224</v>
      </c>
      <c r="J316" s="13">
        <v>0</v>
      </c>
      <c r="K316" s="13">
        <f t="shared" si="206"/>
        <v>0</v>
      </c>
      <c r="L316" s="13">
        <f t="shared" si="207"/>
        <v>0</v>
      </c>
      <c r="M316" s="13">
        <f t="shared" si="208"/>
        <v>0</v>
      </c>
      <c r="N316" s="13">
        <v>0</v>
      </c>
      <c r="O316" s="10" t="s">
        <v>851</v>
      </c>
      <c r="Z316" s="13">
        <f t="shared" si="209"/>
        <v>0</v>
      </c>
      <c r="AB316" s="13">
        <f t="shared" si="210"/>
        <v>0</v>
      </c>
      <c r="AC316" s="13">
        <f t="shared" si="211"/>
        <v>0</v>
      </c>
      <c r="AD316" s="13">
        <f t="shared" si="212"/>
        <v>0</v>
      </c>
      <c r="AE316" s="13">
        <f t="shared" si="213"/>
        <v>0</v>
      </c>
      <c r="AF316" s="13">
        <f t="shared" si="214"/>
        <v>0</v>
      </c>
      <c r="AG316" s="13">
        <f t="shared" si="215"/>
        <v>0</v>
      </c>
      <c r="AH316" s="13">
        <f t="shared" si="216"/>
        <v>0</v>
      </c>
      <c r="AI316" s="21" t="s">
        <v>1104</v>
      </c>
      <c r="AJ316" s="13">
        <f t="shared" si="217"/>
        <v>0</v>
      </c>
      <c r="AK316" s="13">
        <f t="shared" si="218"/>
        <v>0</v>
      </c>
      <c r="AL316" s="13">
        <f t="shared" si="219"/>
        <v>0</v>
      </c>
      <c r="AN316" s="13">
        <v>21</v>
      </c>
      <c r="AO316" s="13">
        <f t="shared" si="220"/>
        <v>0</v>
      </c>
      <c r="AP316" s="13">
        <f t="shared" si="221"/>
        <v>0</v>
      </c>
      <c r="AQ316" s="32" t="s">
        <v>654</v>
      </c>
      <c r="AV316" s="13">
        <f t="shared" si="222"/>
        <v>0</v>
      </c>
      <c r="AW316" s="13">
        <f t="shared" si="223"/>
        <v>0</v>
      </c>
      <c r="AX316" s="13">
        <f t="shared" si="224"/>
        <v>0</v>
      </c>
      <c r="AY316" s="32" t="s">
        <v>133</v>
      </c>
      <c r="AZ316" s="32" t="s">
        <v>585</v>
      </c>
      <c r="BA316" s="21" t="s">
        <v>980</v>
      </c>
      <c r="BC316" s="13">
        <f t="shared" si="225"/>
        <v>0</v>
      </c>
      <c r="BD316" s="13">
        <f t="shared" si="226"/>
        <v>0</v>
      </c>
      <c r="BE316" s="13">
        <v>0</v>
      </c>
      <c r="BF316" s="13">
        <f>316</f>
        <v>316</v>
      </c>
      <c r="BH316" s="13">
        <f t="shared" si="227"/>
        <v>0</v>
      </c>
      <c r="BI316" s="13">
        <f t="shared" si="228"/>
        <v>0</v>
      </c>
      <c r="BJ316" s="13">
        <f t="shared" si="229"/>
        <v>0</v>
      </c>
      <c r="BK316" s="13"/>
      <c r="BL316" s="13">
        <v>11</v>
      </c>
    </row>
    <row r="317" spans="1:64" ht="15" customHeight="1">
      <c r="A317" s="11" t="s">
        <v>194</v>
      </c>
      <c r="B317" s="48" t="s">
        <v>1104</v>
      </c>
      <c r="C317" s="48" t="s">
        <v>907</v>
      </c>
      <c r="D317" s="61" t="s">
        <v>778</v>
      </c>
      <c r="E317" s="61"/>
      <c r="F317" s="61"/>
      <c r="G317" s="61"/>
      <c r="H317" s="48" t="s">
        <v>1018</v>
      </c>
      <c r="I317" s="13">
        <v>69</v>
      </c>
      <c r="J317" s="13">
        <v>0</v>
      </c>
      <c r="K317" s="13">
        <f t="shared" si="206"/>
        <v>0</v>
      </c>
      <c r="L317" s="13">
        <f t="shared" si="207"/>
        <v>0</v>
      </c>
      <c r="M317" s="13">
        <f t="shared" si="208"/>
        <v>0</v>
      </c>
      <c r="N317" s="13">
        <v>0.02478</v>
      </c>
      <c r="O317" s="10" t="s">
        <v>851</v>
      </c>
      <c r="Z317" s="13">
        <f t="shared" si="209"/>
        <v>0</v>
      </c>
      <c r="AB317" s="13">
        <f t="shared" si="210"/>
        <v>0</v>
      </c>
      <c r="AC317" s="13">
        <f t="shared" si="211"/>
        <v>0</v>
      </c>
      <c r="AD317" s="13">
        <f t="shared" si="212"/>
        <v>0</v>
      </c>
      <c r="AE317" s="13">
        <f t="shared" si="213"/>
        <v>0</v>
      </c>
      <c r="AF317" s="13">
        <f t="shared" si="214"/>
        <v>0</v>
      </c>
      <c r="AG317" s="13">
        <f t="shared" si="215"/>
        <v>0</v>
      </c>
      <c r="AH317" s="13">
        <f t="shared" si="216"/>
        <v>0</v>
      </c>
      <c r="AI317" s="21" t="s">
        <v>1104</v>
      </c>
      <c r="AJ317" s="13">
        <f t="shared" si="217"/>
        <v>0</v>
      </c>
      <c r="AK317" s="13">
        <f t="shared" si="218"/>
        <v>0</v>
      </c>
      <c r="AL317" s="13">
        <f t="shared" si="219"/>
        <v>0</v>
      </c>
      <c r="AN317" s="13">
        <v>21</v>
      </c>
      <c r="AO317" s="13">
        <f>J317*0.352956636005256</f>
        <v>0</v>
      </c>
      <c r="AP317" s="13">
        <f>J317*(1-0.352956636005256)</f>
        <v>0</v>
      </c>
      <c r="AQ317" s="32" t="s">
        <v>1231</v>
      </c>
      <c r="AV317" s="13">
        <f t="shared" si="222"/>
        <v>0</v>
      </c>
      <c r="AW317" s="13">
        <f t="shared" si="223"/>
        <v>0</v>
      </c>
      <c r="AX317" s="13">
        <f t="shared" si="224"/>
        <v>0</v>
      </c>
      <c r="AY317" s="32" t="s">
        <v>133</v>
      </c>
      <c r="AZ317" s="32" t="s">
        <v>585</v>
      </c>
      <c r="BA317" s="21" t="s">
        <v>980</v>
      </c>
      <c r="BC317" s="13">
        <f t="shared" si="225"/>
        <v>0</v>
      </c>
      <c r="BD317" s="13">
        <f t="shared" si="226"/>
        <v>0</v>
      </c>
      <c r="BE317" s="13">
        <v>0</v>
      </c>
      <c r="BF317" s="13">
        <f>317</f>
        <v>317</v>
      </c>
      <c r="BH317" s="13">
        <f t="shared" si="227"/>
        <v>0</v>
      </c>
      <c r="BI317" s="13">
        <f t="shared" si="228"/>
        <v>0</v>
      </c>
      <c r="BJ317" s="13">
        <f t="shared" si="229"/>
        <v>0</v>
      </c>
      <c r="BK317" s="13"/>
      <c r="BL317" s="13">
        <v>11</v>
      </c>
    </row>
    <row r="318" spans="1:64" ht="15" customHeight="1">
      <c r="A318" s="11" t="s">
        <v>574</v>
      </c>
      <c r="B318" s="48" t="s">
        <v>1104</v>
      </c>
      <c r="C318" s="48" t="s">
        <v>1038</v>
      </c>
      <c r="D318" s="61" t="s">
        <v>1167</v>
      </c>
      <c r="E318" s="61"/>
      <c r="F318" s="61"/>
      <c r="G318" s="61"/>
      <c r="H318" s="48" t="s">
        <v>1018</v>
      </c>
      <c r="I318" s="13">
        <v>46</v>
      </c>
      <c r="J318" s="13">
        <v>0</v>
      </c>
      <c r="K318" s="13">
        <f t="shared" si="206"/>
        <v>0</v>
      </c>
      <c r="L318" s="13">
        <f t="shared" si="207"/>
        <v>0</v>
      </c>
      <c r="M318" s="13">
        <f t="shared" si="208"/>
        <v>0</v>
      </c>
      <c r="N318" s="13">
        <v>0.00869</v>
      </c>
      <c r="O318" s="10" t="s">
        <v>851</v>
      </c>
      <c r="Z318" s="13">
        <f t="shared" si="209"/>
        <v>0</v>
      </c>
      <c r="AB318" s="13">
        <f t="shared" si="210"/>
        <v>0</v>
      </c>
      <c r="AC318" s="13">
        <f t="shared" si="211"/>
        <v>0</v>
      </c>
      <c r="AD318" s="13">
        <f t="shared" si="212"/>
        <v>0</v>
      </c>
      <c r="AE318" s="13">
        <f t="shared" si="213"/>
        <v>0</v>
      </c>
      <c r="AF318" s="13">
        <f t="shared" si="214"/>
        <v>0</v>
      </c>
      <c r="AG318" s="13">
        <f t="shared" si="215"/>
        <v>0</v>
      </c>
      <c r="AH318" s="13">
        <f t="shared" si="216"/>
        <v>0</v>
      </c>
      <c r="AI318" s="21" t="s">
        <v>1104</v>
      </c>
      <c r="AJ318" s="13">
        <f t="shared" si="217"/>
        <v>0</v>
      </c>
      <c r="AK318" s="13">
        <f t="shared" si="218"/>
        <v>0</v>
      </c>
      <c r="AL318" s="13">
        <f t="shared" si="219"/>
        <v>0</v>
      </c>
      <c r="AN318" s="13">
        <v>21</v>
      </c>
      <c r="AO318" s="13">
        <f>J318*0.282187147688839</f>
        <v>0</v>
      </c>
      <c r="AP318" s="13">
        <f>J318*(1-0.282187147688839)</f>
        <v>0</v>
      </c>
      <c r="AQ318" s="32" t="s">
        <v>1231</v>
      </c>
      <c r="AV318" s="13">
        <f t="shared" si="222"/>
        <v>0</v>
      </c>
      <c r="AW318" s="13">
        <f t="shared" si="223"/>
        <v>0</v>
      </c>
      <c r="AX318" s="13">
        <f t="shared" si="224"/>
        <v>0</v>
      </c>
      <c r="AY318" s="32" t="s">
        <v>133</v>
      </c>
      <c r="AZ318" s="32" t="s">
        <v>585</v>
      </c>
      <c r="BA318" s="21" t="s">
        <v>980</v>
      </c>
      <c r="BC318" s="13">
        <f t="shared" si="225"/>
        <v>0</v>
      </c>
      <c r="BD318" s="13">
        <f t="shared" si="226"/>
        <v>0</v>
      </c>
      <c r="BE318" s="13">
        <v>0</v>
      </c>
      <c r="BF318" s="13">
        <f>318</f>
        <v>318</v>
      </c>
      <c r="BH318" s="13">
        <f t="shared" si="227"/>
        <v>0</v>
      </c>
      <c r="BI318" s="13">
        <f t="shared" si="228"/>
        <v>0</v>
      </c>
      <c r="BJ318" s="13">
        <f t="shared" si="229"/>
        <v>0</v>
      </c>
      <c r="BK318" s="13"/>
      <c r="BL318" s="13">
        <v>11</v>
      </c>
    </row>
    <row r="319" spans="1:64" ht="15" customHeight="1">
      <c r="A319" s="11" t="s">
        <v>1364</v>
      </c>
      <c r="B319" s="48" t="s">
        <v>1104</v>
      </c>
      <c r="C319" s="48" t="s">
        <v>1238</v>
      </c>
      <c r="D319" s="61" t="s">
        <v>1058</v>
      </c>
      <c r="E319" s="61"/>
      <c r="F319" s="61"/>
      <c r="G319" s="61"/>
      <c r="H319" s="48" t="s">
        <v>1018</v>
      </c>
      <c r="I319" s="13">
        <v>22</v>
      </c>
      <c r="J319" s="13">
        <v>0</v>
      </c>
      <c r="K319" s="13">
        <f t="shared" si="206"/>
        <v>0</v>
      </c>
      <c r="L319" s="13">
        <f t="shared" si="207"/>
        <v>0</v>
      </c>
      <c r="M319" s="13">
        <f t="shared" si="208"/>
        <v>0</v>
      </c>
      <c r="N319" s="13">
        <v>0.01271</v>
      </c>
      <c r="O319" s="10" t="s">
        <v>851</v>
      </c>
      <c r="Z319" s="13">
        <f t="shared" si="209"/>
        <v>0</v>
      </c>
      <c r="AB319" s="13">
        <f t="shared" si="210"/>
        <v>0</v>
      </c>
      <c r="AC319" s="13">
        <f t="shared" si="211"/>
        <v>0</v>
      </c>
      <c r="AD319" s="13">
        <f t="shared" si="212"/>
        <v>0</v>
      </c>
      <c r="AE319" s="13">
        <f t="shared" si="213"/>
        <v>0</v>
      </c>
      <c r="AF319" s="13">
        <f t="shared" si="214"/>
        <v>0</v>
      </c>
      <c r="AG319" s="13">
        <f t="shared" si="215"/>
        <v>0</v>
      </c>
      <c r="AH319" s="13">
        <f t="shared" si="216"/>
        <v>0</v>
      </c>
      <c r="AI319" s="21" t="s">
        <v>1104</v>
      </c>
      <c r="AJ319" s="13">
        <f t="shared" si="217"/>
        <v>0</v>
      </c>
      <c r="AK319" s="13">
        <f t="shared" si="218"/>
        <v>0</v>
      </c>
      <c r="AL319" s="13">
        <f t="shared" si="219"/>
        <v>0</v>
      </c>
      <c r="AN319" s="13">
        <v>21</v>
      </c>
      <c r="AO319" s="13">
        <f>J319*0.256844997804501</f>
        <v>0</v>
      </c>
      <c r="AP319" s="13">
        <f>J319*(1-0.256844997804501)</f>
        <v>0</v>
      </c>
      <c r="AQ319" s="32" t="s">
        <v>1231</v>
      </c>
      <c r="AV319" s="13">
        <f t="shared" si="222"/>
        <v>0</v>
      </c>
      <c r="AW319" s="13">
        <f t="shared" si="223"/>
        <v>0</v>
      </c>
      <c r="AX319" s="13">
        <f t="shared" si="224"/>
        <v>0</v>
      </c>
      <c r="AY319" s="32" t="s">
        <v>133</v>
      </c>
      <c r="AZ319" s="32" t="s">
        <v>585</v>
      </c>
      <c r="BA319" s="21" t="s">
        <v>980</v>
      </c>
      <c r="BC319" s="13">
        <f t="shared" si="225"/>
        <v>0</v>
      </c>
      <c r="BD319" s="13">
        <f t="shared" si="226"/>
        <v>0</v>
      </c>
      <c r="BE319" s="13">
        <v>0</v>
      </c>
      <c r="BF319" s="13">
        <f>319</f>
        <v>319</v>
      </c>
      <c r="BH319" s="13">
        <f t="shared" si="227"/>
        <v>0</v>
      </c>
      <c r="BI319" s="13">
        <f t="shared" si="228"/>
        <v>0</v>
      </c>
      <c r="BJ319" s="13">
        <f t="shared" si="229"/>
        <v>0</v>
      </c>
      <c r="BK319" s="13"/>
      <c r="BL319" s="13">
        <v>11</v>
      </c>
    </row>
    <row r="320" spans="1:47" ht="15" customHeight="1">
      <c r="A320" s="30" t="s">
        <v>862</v>
      </c>
      <c r="B320" s="18" t="s">
        <v>1104</v>
      </c>
      <c r="C320" s="18" t="s">
        <v>356</v>
      </c>
      <c r="D320" s="73" t="s">
        <v>11</v>
      </c>
      <c r="E320" s="73"/>
      <c r="F320" s="73"/>
      <c r="G320" s="73"/>
      <c r="H320" s="15" t="s">
        <v>1148</v>
      </c>
      <c r="I320" s="15" t="s">
        <v>1148</v>
      </c>
      <c r="J320" s="15" t="s">
        <v>1148</v>
      </c>
      <c r="K320" s="56">
        <f>SUM(K321:K322)</f>
        <v>0</v>
      </c>
      <c r="L320" s="56">
        <f>SUM(L321:L322)</f>
        <v>0</v>
      </c>
      <c r="M320" s="56">
        <f>SUM(M321:M322)</f>
        <v>0</v>
      </c>
      <c r="N320" s="21" t="s">
        <v>862</v>
      </c>
      <c r="O320" s="47" t="s">
        <v>862</v>
      </c>
      <c r="AI320" s="21" t="s">
        <v>1104</v>
      </c>
      <c r="AS320" s="56">
        <f>SUM(AJ321:AJ322)</f>
        <v>0</v>
      </c>
      <c r="AT320" s="56">
        <f>SUM(AK321:AK322)</f>
        <v>0</v>
      </c>
      <c r="AU320" s="56">
        <f>SUM(AL321:AL322)</f>
        <v>0</v>
      </c>
    </row>
    <row r="321" spans="1:64" ht="15" customHeight="1">
      <c r="A321" s="11" t="s">
        <v>1310</v>
      </c>
      <c r="B321" s="48" t="s">
        <v>1104</v>
      </c>
      <c r="C321" s="48" t="s">
        <v>1101</v>
      </c>
      <c r="D321" s="61" t="s">
        <v>168</v>
      </c>
      <c r="E321" s="61"/>
      <c r="F321" s="61"/>
      <c r="G321" s="61"/>
      <c r="H321" s="48" t="s">
        <v>1195</v>
      </c>
      <c r="I321" s="13">
        <v>657.8</v>
      </c>
      <c r="J321" s="13">
        <v>0</v>
      </c>
      <c r="K321" s="13">
        <f>I321*AO321</f>
        <v>0</v>
      </c>
      <c r="L321" s="13">
        <f>I321*AP321</f>
        <v>0</v>
      </c>
      <c r="M321" s="13">
        <f>I321*J321</f>
        <v>0</v>
      </c>
      <c r="N321" s="13">
        <v>0</v>
      </c>
      <c r="O321" s="10" t="s">
        <v>851</v>
      </c>
      <c r="Z321" s="13">
        <f>IF(AQ321="5",BJ321,0)</f>
        <v>0</v>
      </c>
      <c r="AB321" s="13">
        <f>IF(AQ321="1",BH321,0)</f>
        <v>0</v>
      </c>
      <c r="AC321" s="13">
        <f>IF(AQ321="1",BI321,0)</f>
        <v>0</v>
      </c>
      <c r="AD321" s="13">
        <f>IF(AQ321="7",BH321,0)</f>
        <v>0</v>
      </c>
      <c r="AE321" s="13">
        <f>IF(AQ321="7",BI321,0)</f>
        <v>0</v>
      </c>
      <c r="AF321" s="13">
        <f>IF(AQ321="2",BH321,0)</f>
        <v>0</v>
      </c>
      <c r="AG321" s="13">
        <f>IF(AQ321="2",BI321,0)</f>
        <v>0</v>
      </c>
      <c r="AH321" s="13">
        <f>IF(AQ321="0",BJ321,0)</f>
        <v>0</v>
      </c>
      <c r="AI321" s="21" t="s">
        <v>1104</v>
      </c>
      <c r="AJ321" s="13">
        <f>IF(AN321=0,M321,0)</f>
        <v>0</v>
      </c>
      <c r="AK321" s="13">
        <f>IF(AN321=15,M321,0)</f>
        <v>0</v>
      </c>
      <c r="AL321" s="13">
        <f>IF(AN321=21,M321,0)</f>
        <v>0</v>
      </c>
      <c r="AN321" s="13">
        <v>21</v>
      </c>
      <c r="AO321" s="13">
        <f>J321*0</f>
        <v>0</v>
      </c>
      <c r="AP321" s="13">
        <f>J321*(1-0)</f>
        <v>0</v>
      </c>
      <c r="AQ321" s="32" t="s">
        <v>1231</v>
      </c>
      <c r="AV321" s="13">
        <f>AW321+AX321</f>
        <v>0</v>
      </c>
      <c r="AW321" s="13">
        <f>I321*AO321</f>
        <v>0</v>
      </c>
      <c r="AX321" s="13">
        <f>I321*AP321</f>
        <v>0</v>
      </c>
      <c r="AY321" s="32" t="s">
        <v>1116</v>
      </c>
      <c r="AZ321" s="32" t="s">
        <v>585</v>
      </c>
      <c r="BA321" s="21" t="s">
        <v>980</v>
      </c>
      <c r="BC321" s="13">
        <f>AW321+AX321</f>
        <v>0</v>
      </c>
      <c r="BD321" s="13">
        <f>J321/(100-BE321)*100</f>
        <v>0</v>
      </c>
      <c r="BE321" s="13">
        <v>0</v>
      </c>
      <c r="BF321" s="13">
        <f>321</f>
        <v>321</v>
      </c>
      <c r="BH321" s="13">
        <f>I321*AO321</f>
        <v>0</v>
      </c>
      <c r="BI321" s="13">
        <f>I321*AP321</f>
        <v>0</v>
      </c>
      <c r="BJ321" s="13">
        <f>I321*J321</f>
        <v>0</v>
      </c>
      <c r="BK321" s="13"/>
      <c r="BL321" s="13">
        <v>13</v>
      </c>
    </row>
    <row r="322" spans="1:64" ht="15" customHeight="1">
      <c r="A322" s="11" t="s">
        <v>562</v>
      </c>
      <c r="B322" s="48" t="s">
        <v>1104</v>
      </c>
      <c r="C322" s="48" t="s">
        <v>433</v>
      </c>
      <c r="D322" s="61" t="s">
        <v>1263</v>
      </c>
      <c r="E322" s="61"/>
      <c r="F322" s="61"/>
      <c r="G322" s="61"/>
      <c r="H322" s="48" t="s">
        <v>1195</v>
      </c>
      <c r="I322" s="13">
        <v>205.5</v>
      </c>
      <c r="J322" s="13">
        <v>0</v>
      </c>
      <c r="K322" s="13">
        <f>I322*AO322</f>
        <v>0</v>
      </c>
      <c r="L322" s="13">
        <f>I322*AP322</f>
        <v>0</v>
      </c>
      <c r="M322" s="13">
        <f>I322*J322</f>
        <v>0</v>
      </c>
      <c r="N322" s="13">
        <v>0</v>
      </c>
      <c r="O322" s="10" t="s">
        <v>851</v>
      </c>
      <c r="Z322" s="13">
        <f>IF(AQ322="5",BJ322,0)</f>
        <v>0</v>
      </c>
      <c r="AB322" s="13">
        <f>IF(AQ322="1",BH322,0)</f>
        <v>0</v>
      </c>
      <c r="AC322" s="13">
        <f>IF(AQ322="1",BI322,0)</f>
        <v>0</v>
      </c>
      <c r="AD322" s="13">
        <f>IF(AQ322="7",BH322,0)</f>
        <v>0</v>
      </c>
      <c r="AE322" s="13">
        <f>IF(AQ322="7",BI322,0)</f>
        <v>0</v>
      </c>
      <c r="AF322" s="13">
        <f>IF(AQ322="2",BH322,0)</f>
        <v>0</v>
      </c>
      <c r="AG322" s="13">
        <f>IF(AQ322="2",BI322,0)</f>
        <v>0</v>
      </c>
      <c r="AH322" s="13">
        <f>IF(AQ322="0",BJ322,0)</f>
        <v>0</v>
      </c>
      <c r="AI322" s="21" t="s">
        <v>1104</v>
      </c>
      <c r="AJ322" s="13">
        <f>IF(AN322=0,M322,0)</f>
        <v>0</v>
      </c>
      <c r="AK322" s="13">
        <f>IF(AN322=15,M322,0)</f>
        <v>0</v>
      </c>
      <c r="AL322" s="13">
        <f>IF(AN322=21,M322,0)</f>
        <v>0</v>
      </c>
      <c r="AN322" s="13">
        <v>21</v>
      </c>
      <c r="AO322" s="13">
        <f>J322*0</f>
        <v>0</v>
      </c>
      <c r="AP322" s="13">
        <f>J322*(1-0)</f>
        <v>0</v>
      </c>
      <c r="AQ322" s="32" t="s">
        <v>1231</v>
      </c>
      <c r="AV322" s="13">
        <f>AW322+AX322</f>
        <v>0</v>
      </c>
      <c r="AW322" s="13">
        <f>I322*AO322</f>
        <v>0</v>
      </c>
      <c r="AX322" s="13">
        <f>I322*AP322</f>
        <v>0</v>
      </c>
      <c r="AY322" s="32" t="s">
        <v>1116</v>
      </c>
      <c r="AZ322" s="32" t="s">
        <v>585</v>
      </c>
      <c r="BA322" s="21" t="s">
        <v>980</v>
      </c>
      <c r="BC322" s="13">
        <f>AW322+AX322</f>
        <v>0</v>
      </c>
      <c r="BD322" s="13">
        <f>J322/(100-BE322)*100</f>
        <v>0</v>
      </c>
      <c r="BE322" s="13">
        <v>0</v>
      </c>
      <c r="BF322" s="13">
        <f>322</f>
        <v>322</v>
      </c>
      <c r="BH322" s="13">
        <f>I322*AO322</f>
        <v>0</v>
      </c>
      <c r="BI322" s="13">
        <f>I322*AP322</f>
        <v>0</v>
      </c>
      <c r="BJ322" s="13">
        <f>I322*J322</f>
        <v>0</v>
      </c>
      <c r="BK322" s="13"/>
      <c r="BL322" s="13">
        <v>13</v>
      </c>
    </row>
    <row r="323" spans="1:47" ht="15" customHeight="1">
      <c r="A323" s="30" t="s">
        <v>862</v>
      </c>
      <c r="B323" s="18" t="s">
        <v>1104</v>
      </c>
      <c r="C323" s="18" t="s">
        <v>473</v>
      </c>
      <c r="D323" s="73" t="s">
        <v>1065</v>
      </c>
      <c r="E323" s="73"/>
      <c r="F323" s="73"/>
      <c r="G323" s="73"/>
      <c r="H323" s="15" t="s">
        <v>1148</v>
      </c>
      <c r="I323" s="15" t="s">
        <v>1148</v>
      </c>
      <c r="J323" s="15" t="s">
        <v>1148</v>
      </c>
      <c r="K323" s="56">
        <f>SUM(K324:K325)</f>
        <v>0</v>
      </c>
      <c r="L323" s="56">
        <f>SUM(L324:L325)</f>
        <v>0</v>
      </c>
      <c r="M323" s="56">
        <f>SUM(M324:M325)</f>
        <v>0</v>
      </c>
      <c r="N323" s="21" t="s">
        <v>862</v>
      </c>
      <c r="O323" s="47" t="s">
        <v>862</v>
      </c>
      <c r="AI323" s="21" t="s">
        <v>1104</v>
      </c>
      <c r="AS323" s="56">
        <f>SUM(AJ324:AJ325)</f>
        <v>0</v>
      </c>
      <c r="AT323" s="56">
        <f>SUM(AK324:AK325)</f>
        <v>0</v>
      </c>
      <c r="AU323" s="56">
        <f>SUM(AL324:AL325)</f>
        <v>0</v>
      </c>
    </row>
    <row r="324" spans="1:64" ht="15" customHeight="1">
      <c r="A324" s="11" t="s">
        <v>1300</v>
      </c>
      <c r="B324" s="48" t="s">
        <v>1104</v>
      </c>
      <c r="C324" s="48" t="s">
        <v>150</v>
      </c>
      <c r="D324" s="61" t="s">
        <v>372</v>
      </c>
      <c r="E324" s="61"/>
      <c r="F324" s="61"/>
      <c r="G324" s="61"/>
      <c r="H324" s="48" t="s">
        <v>1216</v>
      </c>
      <c r="I324" s="13">
        <v>1459.12</v>
      </c>
      <c r="J324" s="13">
        <v>0</v>
      </c>
      <c r="K324" s="13">
        <f>I324*AO324</f>
        <v>0</v>
      </c>
      <c r="L324" s="13">
        <f>I324*AP324</f>
        <v>0</v>
      </c>
      <c r="M324" s="13">
        <f>I324*J324</f>
        <v>0</v>
      </c>
      <c r="N324" s="13">
        <v>0.00086</v>
      </c>
      <c r="O324" s="10" t="s">
        <v>851</v>
      </c>
      <c r="Z324" s="13">
        <f>IF(AQ324="5",BJ324,0)</f>
        <v>0</v>
      </c>
      <c r="AB324" s="13">
        <f>IF(AQ324="1",BH324,0)</f>
        <v>0</v>
      </c>
      <c r="AC324" s="13">
        <f>IF(AQ324="1",BI324,0)</f>
        <v>0</v>
      </c>
      <c r="AD324" s="13">
        <f>IF(AQ324="7",BH324,0)</f>
        <v>0</v>
      </c>
      <c r="AE324" s="13">
        <f>IF(AQ324="7",BI324,0)</f>
        <v>0</v>
      </c>
      <c r="AF324" s="13">
        <f>IF(AQ324="2",BH324,0)</f>
        <v>0</v>
      </c>
      <c r="AG324" s="13">
        <f>IF(AQ324="2",BI324,0)</f>
        <v>0</v>
      </c>
      <c r="AH324" s="13">
        <f>IF(AQ324="0",BJ324,0)</f>
        <v>0</v>
      </c>
      <c r="AI324" s="21" t="s">
        <v>1104</v>
      </c>
      <c r="AJ324" s="13">
        <f>IF(AN324=0,M324,0)</f>
        <v>0</v>
      </c>
      <c r="AK324" s="13">
        <f>IF(AN324=15,M324,0)</f>
        <v>0</v>
      </c>
      <c r="AL324" s="13">
        <f>IF(AN324=21,M324,0)</f>
        <v>0</v>
      </c>
      <c r="AN324" s="13">
        <v>21</v>
      </c>
      <c r="AO324" s="13">
        <f>J324*0.0997231833910035</f>
        <v>0</v>
      </c>
      <c r="AP324" s="13">
        <f>J324*(1-0.0997231833910035)</f>
        <v>0</v>
      </c>
      <c r="AQ324" s="32" t="s">
        <v>1231</v>
      </c>
      <c r="AV324" s="13">
        <f>AW324+AX324</f>
        <v>0</v>
      </c>
      <c r="AW324" s="13">
        <f>I324*AO324</f>
        <v>0</v>
      </c>
      <c r="AX324" s="13">
        <f>I324*AP324</f>
        <v>0</v>
      </c>
      <c r="AY324" s="32" t="s">
        <v>876</v>
      </c>
      <c r="AZ324" s="32" t="s">
        <v>585</v>
      </c>
      <c r="BA324" s="21" t="s">
        <v>980</v>
      </c>
      <c r="BC324" s="13">
        <f>AW324+AX324</f>
        <v>0</v>
      </c>
      <c r="BD324" s="13">
        <f>J324/(100-BE324)*100</f>
        <v>0</v>
      </c>
      <c r="BE324" s="13">
        <v>0</v>
      </c>
      <c r="BF324" s="13">
        <f>324</f>
        <v>324</v>
      </c>
      <c r="BH324" s="13">
        <f>I324*AO324</f>
        <v>0</v>
      </c>
      <c r="BI324" s="13">
        <f>I324*AP324</f>
        <v>0</v>
      </c>
      <c r="BJ324" s="13">
        <f>I324*J324</f>
        <v>0</v>
      </c>
      <c r="BK324" s="13"/>
      <c r="BL324" s="13">
        <v>15</v>
      </c>
    </row>
    <row r="325" spans="1:64" ht="15" customHeight="1">
      <c r="A325" s="11" t="s">
        <v>665</v>
      </c>
      <c r="B325" s="48" t="s">
        <v>1104</v>
      </c>
      <c r="C325" s="48" t="s">
        <v>456</v>
      </c>
      <c r="D325" s="61" t="s">
        <v>458</v>
      </c>
      <c r="E325" s="61"/>
      <c r="F325" s="61"/>
      <c r="G325" s="61"/>
      <c r="H325" s="48" t="s">
        <v>1216</v>
      </c>
      <c r="I325" s="13">
        <v>1459.12</v>
      </c>
      <c r="J325" s="13">
        <v>0</v>
      </c>
      <c r="K325" s="13">
        <f>I325*AO325</f>
        <v>0</v>
      </c>
      <c r="L325" s="13">
        <f>I325*AP325</f>
        <v>0</v>
      </c>
      <c r="M325" s="13">
        <f>I325*J325</f>
        <v>0</v>
      </c>
      <c r="N325" s="13">
        <v>0</v>
      </c>
      <c r="O325" s="10" t="s">
        <v>851</v>
      </c>
      <c r="Z325" s="13">
        <f>IF(AQ325="5",BJ325,0)</f>
        <v>0</v>
      </c>
      <c r="AB325" s="13">
        <f>IF(AQ325="1",BH325,0)</f>
        <v>0</v>
      </c>
      <c r="AC325" s="13">
        <f>IF(AQ325="1",BI325,0)</f>
        <v>0</v>
      </c>
      <c r="AD325" s="13">
        <f>IF(AQ325="7",BH325,0)</f>
        <v>0</v>
      </c>
      <c r="AE325" s="13">
        <f>IF(AQ325="7",BI325,0)</f>
        <v>0</v>
      </c>
      <c r="AF325" s="13">
        <f>IF(AQ325="2",BH325,0)</f>
        <v>0</v>
      </c>
      <c r="AG325" s="13">
        <f>IF(AQ325="2",BI325,0)</f>
        <v>0</v>
      </c>
      <c r="AH325" s="13">
        <f>IF(AQ325="0",BJ325,0)</f>
        <v>0</v>
      </c>
      <c r="AI325" s="21" t="s">
        <v>1104</v>
      </c>
      <c r="AJ325" s="13">
        <f>IF(AN325=0,M325,0)</f>
        <v>0</v>
      </c>
      <c r="AK325" s="13">
        <f>IF(AN325=15,M325,0)</f>
        <v>0</v>
      </c>
      <c r="AL325" s="13">
        <f>IF(AN325=21,M325,0)</f>
        <v>0</v>
      </c>
      <c r="AN325" s="13">
        <v>21</v>
      </c>
      <c r="AO325" s="13">
        <f>J325*0</f>
        <v>0</v>
      </c>
      <c r="AP325" s="13">
        <f>J325*(1-0)</f>
        <v>0</v>
      </c>
      <c r="AQ325" s="32" t="s">
        <v>1231</v>
      </c>
      <c r="AV325" s="13">
        <f>AW325+AX325</f>
        <v>0</v>
      </c>
      <c r="AW325" s="13">
        <f>I325*AO325</f>
        <v>0</v>
      </c>
      <c r="AX325" s="13">
        <f>I325*AP325</f>
        <v>0</v>
      </c>
      <c r="AY325" s="32" t="s">
        <v>876</v>
      </c>
      <c r="AZ325" s="32" t="s">
        <v>585</v>
      </c>
      <c r="BA325" s="21" t="s">
        <v>980</v>
      </c>
      <c r="BC325" s="13">
        <f>AW325+AX325</f>
        <v>0</v>
      </c>
      <c r="BD325" s="13">
        <f>J325/(100-BE325)*100</f>
        <v>0</v>
      </c>
      <c r="BE325" s="13">
        <v>0</v>
      </c>
      <c r="BF325" s="13">
        <f>325</f>
        <v>325</v>
      </c>
      <c r="BH325" s="13">
        <f>I325*AO325</f>
        <v>0</v>
      </c>
      <c r="BI325" s="13">
        <f>I325*AP325</f>
        <v>0</v>
      </c>
      <c r="BJ325" s="13">
        <f>I325*J325</f>
        <v>0</v>
      </c>
      <c r="BK325" s="13"/>
      <c r="BL325" s="13">
        <v>15</v>
      </c>
    </row>
    <row r="326" spans="1:47" ht="15" customHeight="1">
      <c r="A326" s="30" t="s">
        <v>862</v>
      </c>
      <c r="B326" s="18" t="s">
        <v>1104</v>
      </c>
      <c r="C326" s="18" t="s">
        <v>113</v>
      </c>
      <c r="D326" s="73" t="s">
        <v>1028</v>
      </c>
      <c r="E326" s="73"/>
      <c r="F326" s="73"/>
      <c r="G326" s="73"/>
      <c r="H326" s="15" t="s">
        <v>1148</v>
      </c>
      <c r="I326" s="15" t="s">
        <v>1148</v>
      </c>
      <c r="J326" s="15" t="s">
        <v>1148</v>
      </c>
      <c r="K326" s="56">
        <f>SUM(K327:K328)</f>
        <v>0</v>
      </c>
      <c r="L326" s="56">
        <f>SUM(L327:L328)</f>
        <v>0</v>
      </c>
      <c r="M326" s="56">
        <f>SUM(M327:M328)</f>
        <v>0</v>
      </c>
      <c r="N326" s="21" t="s">
        <v>862</v>
      </c>
      <c r="O326" s="47" t="s">
        <v>862</v>
      </c>
      <c r="AI326" s="21" t="s">
        <v>1104</v>
      </c>
      <c r="AS326" s="56">
        <f>SUM(AJ327:AJ328)</f>
        <v>0</v>
      </c>
      <c r="AT326" s="56">
        <f>SUM(AK327:AK328)</f>
        <v>0</v>
      </c>
      <c r="AU326" s="56">
        <f>SUM(AL327:AL328)</f>
        <v>0</v>
      </c>
    </row>
    <row r="327" spans="1:64" ht="15" customHeight="1">
      <c r="A327" s="11" t="s">
        <v>935</v>
      </c>
      <c r="B327" s="48" t="s">
        <v>1104</v>
      </c>
      <c r="C327" s="48" t="s">
        <v>18</v>
      </c>
      <c r="D327" s="61" t="s">
        <v>1035</v>
      </c>
      <c r="E327" s="61"/>
      <c r="F327" s="61"/>
      <c r="G327" s="61"/>
      <c r="H327" s="48" t="s">
        <v>1195</v>
      </c>
      <c r="I327" s="13">
        <v>37.89</v>
      </c>
      <c r="J327" s="13">
        <v>0</v>
      </c>
      <c r="K327" s="13">
        <f>I327*AO327</f>
        <v>0</v>
      </c>
      <c r="L327" s="13">
        <f>I327*AP327</f>
        <v>0</v>
      </c>
      <c r="M327" s="13">
        <f>I327*J327</f>
        <v>0</v>
      </c>
      <c r="N327" s="13">
        <v>0</v>
      </c>
      <c r="O327" s="10" t="s">
        <v>851</v>
      </c>
      <c r="Z327" s="13">
        <f>IF(AQ327="5",BJ327,0)</f>
        <v>0</v>
      </c>
      <c r="AB327" s="13">
        <f>IF(AQ327="1",BH327,0)</f>
        <v>0</v>
      </c>
      <c r="AC327" s="13">
        <f>IF(AQ327="1",BI327,0)</f>
        <v>0</v>
      </c>
      <c r="AD327" s="13">
        <f>IF(AQ327="7",BH327,0)</f>
        <v>0</v>
      </c>
      <c r="AE327" s="13">
        <f>IF(AQ327="7",BI327,0)</f>
        <v>0</v>
      </c>
      <c r="AF327" s="13">
        <f>IF(AQ327="2",BH327,0)</f>
        <v>0</v>
      </c>
      <c r="AG327" s="13">
        <f>IF(AQ327="2",BI327,0)</f>
        <v>0</v>
      </c>
      <c r="AH327" s="13">
        <f>IF(AQ327="0",BJ327,0)</f>
        <v>0</v>
      </c>
      <c r="AI327" s="21" t="s">
        <v>1104</v>
      </c>
      <c r="AJ327" s="13">
        <f>IF(AN327=0,M327,0)</f>
        <v>0</v>
      </c>
      <c r="AK327" s="13">
        <f>IF(AN327=15,M327,0)</f>
        <v>0</v>
      </c>
      <c r="AL327" s="13">
        <f>IF(AN327=21,M327,0)</f>
        <v>0</v>
      </c>
      <c r="AN327" s="13">
        <v>21</v>
      </c>
      <c r="AO327" s="13">
        <f>J327*0</f>
        <v>0</v>
      </c>
      <c r="AP327" s="13">
        <f>J327*(1-0)</f>
        <v>0</v>
      </c>
      <c r="AQ327" s="32" t="s">
        <v>1231</v>
      </c>
      <c r="AV327" s="13">
        <f>AW327+AX327</f>
        <v>0</v>
      </c>
      <c r="AW327" s="13">
        <f>I327*AO327</f>
        <v>0</v>
      </c>
      <c r="AX327" s="13">
        <f>I327*AP327</f>
        <v>0</v>
      </c>
      <c r="AY327" s="32" t="s">
        <v>1151</v>
      </c>
      <c r="AZ327" s="32" t="s">
        <v>585</v>
      </c>
      <c r="BA327" s="21" t="s">
        <v>980</v>
      </c>
      <c r="BC327" s="13">
        <f>AW327+AX327</f>
        <v>0</v>
      </c>
      <c r="BD327" s="13">
        <f>J327/(100-BE327)*100</f>
        <v>0</v>
      </c>
      <c r="BE327" s="13">
        <v>0</v>
      </c>
      <c r="BF327" s="13">
        <f>327</f>
        <v>327</v>
      </c>
      <c r="BH327" s="13">
        <f>I327*AO327</f>
        <v>0</v>
      </c>
      <c r="BI327" s="13">
        <f>I327*AP327</f>
        <v>0</v>
      </c>
      <c r="BJ327" s="13">
        <f>I327*J327</f>
        <v>0</v>
      </c>
      <c r="BK327" s="13"/>
      <c r="BL327" s="13">
        <v>16</v>
      </c>
    </row>
    <row r="328" spans="1:64" ht="15" customHeight="1">
      <c r="A328" s="11" t="s">
        <v>547</v>
      </c>
      <c r="B328" s="48" t="s">
        <v>1104</v>
      </c>
      <c r="C328" s="48" t="s">
        <v>560</v>
      </c>
      <c r="D328" s="61" t="s">
        <v>663</v>
      </c>
      <c r="E328" s="61"/>
      <c r="F328" s="61"/>
      <c r="G328" s="61"/>
      <c r="H328" s="48" t="s">
        <v>1195</v>
      </c>
      <c r="I328" s="13">
        <v>378.9</v>
      </c>
      <c r="J328" s="13">
        <v>0</v>
      </c>
      <c r="K328" s="13">
        <f>I328*AO328</f>
        <v>0</v>
      </c>
      <c r="L328" s="13">
        <f>I328*AP328</f>
        <v>0</v>
      </c>
      <c r="M328" s="13">
        <f>I328*J328</f>
        <v>0</v>
      </c>
      <c r="N328" s="13">
        <v>0</v>
      </c>
      <c r="O328" s="10" t="s">
        <v>851</v>
      </c>
      <c r="Z328" s="13">
        <f>IF(AQ328="5",BJ328,0)</f>
        <v>0</v>
      </c>
      <c r="AB328" s="13">
        <f>IF(AQ328="1",BH328,0)</f>
        <v>0</v>
      </c>
      <c r="AC328" s="13">
        <f>IF(AQ328="1",BI328,0)</f>
        <v>0</v>
      </c>
      <c r="AD328" s="13">
        <f>IF(AQ328="7",BH328,0)</f>
        <v>0</v>
      </c>
      <c r="AE328" s="13">
        <f>IF(AQ328="7",BI328,0)</f>
        <v>0</v>
      </c>
      <c r="AF328" s="13">
        <f>IF(AQ328="2",BH328,0)</f>
        <v>0</v>
      </c>
      <c r="AG328" s="13">
        <f>IF(AQ328="2",BI328,0)</f>
        <v>0</v>
      </c>
      <c r="AH328" s="13">
        <f>IF(AQ328="0",BJ328,0)</f>
        <v>0</v>
      </c>
      <c r="AI328" s="21" t="s">
        <v>1104</v>
      </c>
      <c r="AJ328" s="13">
        <f>IF(AN328=0,M328,0)</f>
        <v>0</v>
      </c>
      <c r="AK328" s="13">
        <f>IF(AN328=15,M328,0)</f>
        <v>0</v>
      </c>
      <c r="AL328" s="13">
        <f>IF(AN328=21,M328,0)</f>
        <v>0</v>
      </c>
      <c r="AN328" s="13">
        <v>21</v>
      </c>
      <c r="AO328" s="13">
        <f>J328*0</f>
        <v>0</v>
      </c>
      <c r="AP328" s="13">
        <f>J328*(1-0)</f>
        <v>0</v>
      </c>
      <c r="AQ328" s="32" t="s">
        <v>1231</v>
      </c>
      <c r="AV328" s="13">
        <f>AW328+AX328</f>
        <v>0</v>
      </c>
      <c r="AW328" s="13">
        <f>I328*AO328</f>
        <v>0</v>
      </c>
      <c r="AX328" s="13">
        <f>I328*AP328</f>
        <v>0</v>
      </c>
      <c r="AY328" s="32" t="s">
        <v>1151</v>
      </c>
      <c r="AZ328" s="32" t="s">
        <v>585</v>
      </c>
      <c r="BA328" s="21" t="s">
        <v>980</v>
      </c>
      <c r="BC328" s="13">
        <f>AW328+AX328</f>
        <v>0</v>
      </c>
      <c r="BD328" s="13">
        <f>J328/(100-BE328)*100</f>
        <v>0</v>
      </c>
      <c r="BE328" s="13">
        <v>0</v>
      </c>
      <c r="BF328" s="13">
        <f>328</f>
        <v>328</v>
      </c>
      <c r="BH328" s="13">
        <f>I328*AO328</f>
        <v>0</v>
      </c>
      <c r="BI328" s="13">
        <f>I328*AP328</f>
        <v>0</v>
      </c>
      <c r="BJ328" s="13">
        <f>I328*J328</f>
        <v>0</v>
      </c>
      <c r="BK328" s="13"/>
      <c r="BL328" s="13">
        <v>16</v>
      </c>
    </row>
    <row r="329" spans="1:47" ht="15" customHeight="1">
      <c r="A329" s="30" t="s">
        <v>862</v>
      </c>
      <c r="B329" s="18" t="s">
        <v>1104</v>
      </c>
      <c r="C329" s="18" t="s">
        <v>868</v>
      </c>
      <c r="D329" s="73" t="s">
        <v>167</v>
      </c>
      <c r="E329" s="73"/>
      <c r="F329" s="73"/>
      <c r="G329" s="73"/>
      <c r="H329" s="15" t="s">
        <v>1148</v>
      </c>
      <c r="I329" s="15" t="s">
        <v>1148</v>
      </c>
      <c r="J329" s="15" t="s">
        <v>1148</v>
      </c>
      <c r="K329" s="56">
        <f>SUM(K330:K331)</f>
        <v>0</v>
      </c>
      <c r="L329" s="56">
        <f>SUM(L330:L331)</f>
        <v>0</v>
      </c>
      <c r="M329" s="56">
        <f>SUM(M330:M331)</f>
        <v>0</v>
      </c>
      <c r="N329" s="21" t="s">
        <v>862</v>
      </c>
      <c r="O329" s="47" t="s">
        <v>862</v>
      </c>
      <c r="AI329" s="21" t="s">
        <v>1104</v>
      </c>
      <c r="AS329" s="56">
        <f>SUM(AJ330:AJ331)</f>
        <v>0</v>
      </c>
      <c r="AT329" s="56">
        <f>SUM(AK330:AK331)</f>
        <v>0</v>
      </c>
      <c r="AU329" s="56">
        <f>SUM(AL330:AL331)</f>
        <v>0</v>
      </c>
    </row>
    <row r="330" spans="1:64" ht="15" customHeight="1">
      <c r="A330" s="11" t="s">
        <v>1227</v>
      </c>
      <c r="B330" s="48" t="s">
        <v>1104</v>
      </c>
      <c r="C330" s="48" t="s">
        <v>1079</v>
      </c>
      <c r="D330" s="61" t="s">
        <v>39</v>
      </c>
      <c r="E330" s="61"/>
      <c r="F330" s="61"/>
      <c r="G330" s="61"/>
      <c r="H330" s="48" t="s">
        <v>1195</v>
      </c>
      <c r="I330" s="13">
        <v>113.85</v>
      </c>
      <c r="J330" s="13">
        <v>0</v>
      </c>
      <c r="K330" s="13">
        <f>I330*AO330</f>
        <v>0</v>
      </c>
      <c r="L330" s="13">
        <f>I330*AP330</f>
        <v>0</v>
      </c>
      <c r="M330" s="13">
        <f>I330*J330</f>
        <v>0</v>
      </c>
      <c r="N330" s="13">
        <v>1.7</v>
      </c>
      <c r="O330" s="10" t="s">
        <v>851</v>
      </c>
      <c r="Z330" s="13">
        <f>IF(AQ330="5",BJ330,0)</f>
        <v>0</v>
      </c>
      <c r="AB330" s="13">
        <f>IF(AQ330="1",BH330,0)</f>
        <v>0</v>
      </c>
      <c r="AC330" s="13">
        <f>IF(AQ330="1",BI330,0)</f>
        <v>0</v>
      </c>
      <c r="AD330" s="13">
        <f>IF(AQ330="7",BH330,0)</f>
        <v>0</v>
      </c>
      <c r="AE330" s="13">
        <f>IF(AQ330="7",BI330,0)</f>
        <v>0</v>
      </c>
      <c r="AF330" s="13">
        <f>IF(AQ330="2",BH330,0)</f>
        <v>0</v>
      </c>
      <c r="AG330" s="13">
        <f>IF(AQ330="2",BI330,0)</f>
        <v>0</v>
      </c>
      <c r="AH330" s="13">
        <f>IF(AQ330="0",BJ330,0)</f>
        <v>0</v>
      </c>
      <c r="AI330" s="21" t="s">
        <v>1104</v>
      </c>
      <c r="AJ330" s="13">
        <f>IF(AN330=0,M330,0)</f>
        <v>0</v>
      </c>
      <c r="AK330" s="13">
        <f>IF(AN330=15,M330,0)</f>
        <v>0</v>
      </c>
      <c r="AL330" s="13">
        <f>IF(AN330=21,M330,0)</f>
        <v>0</v>
      </c>
      <c r="AN330" s="13">
        <v>21</v>
      </c>
      <c r="AO330" s="13">
        <f>J330*0.503380669897275</f>
        <v>0</v>
      </c>
      <c r="AP330" s="13">
        <f>J330*(1-0.503380669897275)</f>
        <v>0</v>
      </c>
      <c r="AQ330" s="32" t="s">
        <v>1231</v>
      </c>
      <c r="AV330" s="13">
        <f>AW330+AX330</f>
        <v>0</v>
      </c>
      <c r="AW330" s="13">
        <f>I330*AO330</f>
        <v>0</v>
      </c>
      <c r="AX330" s="13">
        <f>I330*AP330</f>
        <v>0</v>
      </c>
      <c r="AY330" s="32" t="s">
        <v>238</v>
      </c>
      <c r="AZ330" s="32" t="s">
        <v>585</v>
      </c>
      <c r="BA330" s="21" t="s">
        <v>980</v>
      </c>
      <c r="BC330" s="13">
        <f>AW330+AX330</f>
        <v>0</v>
      </c>
      <c r="BD330" s="13">
        <f>J330/(100-BE330)*100</f>
        <v>0</v>
      </c>
      <c r="BE330" s="13">
        <v>0</v>
      </c>
      <c r="BF330" s="13">
        <f>330</f>
        <v>330</v>
      </c>
      <c r="BH330" s="13">
        <f>I330*AO330</f>
        <v>0</v>
      </c>
      <c r="BI330" s="13">
        <f>I330*AP330</f>
        <v>0</v>
      </c>
      <c r="BJ330" s="13">
        <f>I330*J330</f>
        <v>0</v>
      </c>
      <c r="BK330" s="13"/>
      <c r="BL330" s="13">
        <v>17</v>
      </c>
    </row>
    <row r="331" spans="1:64" ht="15" customHeight="1">
      <c r="A331" s="11" t="s">
        <v>487</v>
      </c>
      <c r="B331" s="48" t="s">
        <v>1104</v>
      </c>
      <c r="C331" s="48" t="s">
        <v>911</v>
      </c>
      <c r="D331" s="61" t="s">
        <v>638</v>
      </c>
      <c r="E331" s="61"/>
      <c r="F331" s="61"/>
      <c r="G331" s="61"/>
      <c r="H331" s="48" t="s">
        <v>1195</v>
      </c>
      <c r="I331" s="13">
        <v>619.91</v>
      </c>
      <c r="J331" s="13">
        <v>0</v>
      </c>
      <c r="K331" s="13">
        <f>I331*AO331</f>
        <v>0</v>
      </c>
      <c r="L331" s="13">
        <f>I331*AP331</f>
        <v>0</v>
      </c>
      <c r="M331" s="13">
        <f>I331*J331</f>
        <v>0</v>
      </c>
      <c r="N331" s="13">
        <v>0</v>
      </c>
      <c r="O331" s="10" t="s">
        <v>851</v>
      </c>
      <c r="Z331" s="13">
        <f>IF(AQ331="5",BJ331,0)</f>
        <v>0</v>
      </c>
      <c r="AB331" s="13">
        <f>IF(AQ331="1",BH331,0)</f>
        <v>0</v>
      </c>
      <c r="AC331" s="13">
        <f>IF(AQ331="1",BI331,0)</f>
        <v>0</v>
      </c>
      <c r="AD331" s="13">
        <f>IF(AQ331="7",BH331,0)</f>
        <v>0</v>
      </c>
      <c r="AE331" s="13">
        <f>IF(AQ331="7",BI331,0)</f>
        <v>0</v>
      </c>
      <c r="AF331" s="13">
        <f>IF(AQ331="2",BH331,0)</f>
        <v>0</v>
      </c>
      <c r="AG331" s="13">
        <f>IF(AQ331="2",BI331,0)</f>
        <v>0</v>
      </c>
      <c r="AH331" s="13">
        <f>IF(AQ331="0",BJ331,0)</f>
        <v>0</v>
      </c>
      <c r="AI331" s="21" t="s">
        <v>1104</v>
      </c>
      <c r="AJ331" s="13">
        <f>IF(AN331=0,M331,0)</f>
        <v>0</v>
      </c>
      <c r="AK331" s="13">
        <f>IF(AN331=15,M331,0)</f>
        <v>0</v>
      </c>
      <c r="AL331" s="13">
        <f>IF(AN331=21,M331,0)</f>
        <v>0</v>
      </c>
      <c r="AN331" s="13">
        <v>21</v>
      </c>
      <c r="AO331" s="13">
        <f>J331*0</f>
        <v>0</v>
      </c>
      <c r="AP331" s="13">
        <f>J331*(1-0)</f>
        <v>0</v>
      </c>
      <c r="AQ331" s="32" t="s">
        <v>1231</v>
      </c>
      <c r="AV331" s="13">
        <f>AW331+AX331</f>
        <v>0</v>
      </c>
      <c r="AW331" s="13">
        <f>I331*AO331</f>
        <v>0</v>
      </c>
      <c r="AX331" s="13">
        <f>I331*AP331</f>
        <v>0</v>
      </c>
      <c r="AY331" s="32" t="s">
        <v>238</v>
      </c>
      <c r="AZ331" s="32" t="s">
        <v>585</v>
      </c>
      <c r="BA331" s="21" t="s">
        <v>980</v>
      </c>
      <c r="BC331" s="13">
        <f>AW331+AX331</f>
        <v>0</v>
      </c>
      <c r="BD331" s="13">
        <f>J331/(100-BE331)*100</f>
        <v>0</v>
      </c>
      <c r="BE331" s="13">
        <v>0</v>
      </c>
      <c r="BF331" s="13">
        <f>331</f>
        <v>331</v>
      </c>
      <c r="BH331" s="13">
        <f>I331*AO331</f>
        <v>0</v>
      </c>
      <c r="BI331" s="13">
        <f>I331*AP331</f>
        <v>0</v>
      </c>
      <c r="BJ331" s="13">
        <f>I331*J331</f>
        <v>0</v>
      </c>
      <c r="BK331" s="13"/>
      <c r="BL331" s="13">
        <v>17</v>
      </c>
    </row>
    <row r="332" spans="1:47" ht="15" customHeight="1">
      <c r="A332" s="30" t="s">
        <v>862</v>
      </c>
      <c r="B332" s="18" t="s">
        <v>1104</v>
      </c>
      <c r="C332" s="18" t="s">
        <v>789</v>
      </c>
      <c r="D332" s="73" t="s">
        <v>419</v>
      </c>
      <c r="E332" s="73"/>
      <c r="F332" s="73"/>
      <c r="G332" s="73"/>
      <c r="H332" s="15" t="s">
        <v>1148</v>
      </c>
      <c r="I332" s="15" t="s">
        <v>1148</v>
      </c>
      <c r="J332" s="15" t="s">
        <v>1148</v>
      </c>
      <c r="K332" s="56">
        <f>SUM(K333:K333)</f>
        <v>0</v>
      </c>
      <c r="L332" s="56">
        <f>SUM(L333:L333)</f>
        <v>0</v>
      </c>
      <c r="M332" s="56">
        <f>SUM(M333:M333)</f>
        <v>0</v>
      </c>
      <c r="N332" s="21" t="s">
        <v>862</v>
      </c>
      <c r="O332" s="47" t="s">
        <v>862</v>
      </c>
      <c r="AI332" s="21" t="s">
        <v>1104</v>
      </c>
      <c r="AS332" s="56">
        <f>SUM(AJ333:AJ333)</f>
        <v>0</v>
      </c>
      <c r="AT332" s="56">
        <f>SUM(AK333:AK333)</f>
        <v>0</v>
      </c>
      <c r="AU332" s="56">
        <f>SUM(AL333:AL333)</f>
        <v>0</v>
      </c>
    </row>
    <row r="333" spans="1:64" ht="15" customHeight="1">
      <c r="A333" s="11" t="s">
        <v>169</v>
      </c>
      <c r="B333" s="48" t="s">
        <v>1104</v>
      </c>
      <c r="C333" s="48" t="s">
        <v>849</v>
      </c>
      <c r="D333" s="61" t="s">
        <v>1192</v>
      </c>
      <c r="E333" s="61"/>
      <c r="F333" s="61"/>
      <c r="G333" s="61"/>
      <c r="H333" s="48" t="s">
        <v>1195</v>
      </c>
      <c r="I333" s="13">
        <v>37.89</v>
      </c>
      <c r="J333" s="13">
        <v>0</v>
      </c>
      <c r="K333" s="13">
        <f>I333*AO333</f>
        <v>0</v>
      </c>
      <c r="L333" s="13">
        <f>I333*AP333</f>
        <v>0</v>
      </c>
      <c r="M333" s="13">
        <f>I333*J333</f>
        <v>0</v>
      </c>
      <c r="N333" s="13">
        <v>0</v>
      </c>
      <c r="O333" s="10" t="s">
        <v>851</v>
      </c>
      <c r="Z333" s="13">
        <f>IF(AQ333="5",BJ333,0)</f>
        <v>0</v>
      </c>
      <c r="AB333" s="13">
        <f>IF(AQ333="1",BH333,0)</f>
        <v>0</v>
      </c>
      <c r="AC333" s="13">
        <f>IF(AQ333="1",BI333,0)</f>
        <v>0</v>
      </c>
      <c r="AD333" s="13">
        <f>IF(AQ333="7",BH333,0)</f>
        <v>0</v>
      </c>
      <c r="AE333" s="13">
        <f>IF(AQ333="7",BI333,0)</f>
        <v>0</v>
      </c>
      <c r="AF333" s="13">
        <f>IF(AQ333="2",BH333,0)</f>
        <v>0</v>
      </c>
      <c r="AG333" s="13">
        <f>IF(AQ333="2",BI333,0)</f>
        <v>0</v>
      </c>
      <c r="AH333" s="13">
        <f>IF(AQ333="0",BJ333,0)</f>
        <v>0</v>
      </c>
      <c r="AI333" s="21" t="s">
        <v>1104</v>
      </c>
      <c r="AJ333" s="13">
        <f>IF(AN333=0,M333,0)</f>
        <v>0</v>
      </c>
      <c r="AK333" s="13">
        <f>IF(AN333=15,M333,0)</f>
        <v>0</v>
      </c>
      <c r="AL333" s="13">
        <f>IF(AN333=21,M333,0)</f>
        <v>0</v>
      </c>
      <c r="AN333" s="13">
        <v>21</v>
      </c>
      <c r="AO333" s="13">
        <f>J333*0</f>
        <v>0</v>
      </c>
      <c r="AP333" s="13">
        <f>J333*(1-0)</f>
        <v>0</v>
      </c>
      <c r="AQ333" s="32" t="s">
        <v>1231</v>
      </c>
      <c r="AV333" s="13">
        <f>AW333+AX333</f>
        <v>0</v>
      </c>
      <c r="AW333" s="13">
        <f>I333*AO333</f>
        <v>0</v>
      </c>
      <c r="AX333" s="13">
        <f>I333*AP333</f>
        <v>0</v>
      </c>
      <c r="AY333" s="32" t="s">
        <v>976</v>
      </c>
      <c r="AZ333" s="32" t="s">
        <v>585</v>
      </c>
      <c r="BA333" s="21" t="s">
        <v>980</v>
      </c>
      <c r="BC333" s="13">
        <f>AW333+AX333</f>
        <v>0</v>
      </c>
      <c r="BD333" s="13">
        <f>J333/(100-BE333)*100</f>
        <v>0</v>
      </c>
      <c r="BE333" s="13">
        <v>0</v>
      </c>
      <c r="BF333" s="13">
        <f>333</f>
        <v>333</v>
      </c>
      <c r="BH333" s="13">
        <f>I333*AO333</f>
        <v>0</v>
      </c>
      <c r="BI333" s="13">
        <f>I333*AP333</f>
        <v>0</v>
      </c>
      <c r="BJ333" s="13">
        <f>I333*J333</f>
        <v>0</v>
      </c>
      <c r="BK333" s="13"/>
      <c r="BL333" s="13">
        <v>19</v>
      </c>
    </row>
    <row r="334" spans="1:47" ht="15" customHeight="1">
      <c r="A334" s="30" t="s">
        <v>862</v>
      </c>
      <c r="B334" s="18" t="s">
        <v>1104</v>
      </c>
      <c r="C334" s="18" t="s">
        <v>423</v>
      </c>
      <c r="D334" s="73" t="s">
        <v>968</v>
      </c>
      <c r="E334" s="73"/>
      <c r="F334" s="73"/>
      <c r="G334" s="73"/>
      <c r="H334" s="15" t="s">
        <v>1148</v>
      </c>
      <c r="I334" s="15" t="s">
        <v>1148</v>
      </c>
      <c r="J334" s="15" t="s">
        <v>1148</v>
      </c>
      <c r="K334" s="56">
        <f>SUM(K335:K335)</f>
        <v>0</v>
      </c>
      <c r="L334" s="56">
        <f>SUM(L335:L335)</f>
        <v>0</v>
      </c>
      <c r="M334" s="56">
        <f>SUM(M335:M335)</f>
        <v>0</v>
      </c>
      <c r="N334" s="21" t="s">
        <v>862</v>
      </c>
      <c r="O334" s="47" t="s">
        <v>862</v>
      </c>
      <c r="AI334" s="21" t="s">
        <v>1104</v>
      </c>
      <c r="AS334" s="56">
        <f>SUM(AJ335:AJ335)</f>
        <v>0</v>
      </c>
      <c r="AT334" s="56">
        <f>SUM(AK335:AK335)</f>
        <v>0</v>
      </c>
      <c r="AU334" s="56">
        <f>SUM(AL335:AL335)</f>
        <v>0</v>
      </c>
    </row>
    <row r="335" spans="1:64" ht="15" customHeight="1">
      <c r="A335" s="11" t="s">
        <v>340</v>
      </c>
      <c r="B335" s="48" t="s">
        <v>1104</v>
      </c>
      <c r="C335" s="48" t="s">
        <v>880</v>
      </c>
      <c r="D335" s="61" t="s">
        <v>407</v>
      </c>
      <c r="E335" s="61"/>
      <c r="F335" s="61"/>
      <c r="G335" s="61"/>
      <c r="H335" s="48" t="s">
        <v>1195</v>
      </c>
      <c r="I335" s="13">
        <v>36.2848</v>
      </c>
      <c r="J335" s="13">
        <v>0</v>
      </c>
      <c r="K335" s="13">
        <f>I335*AO335</f>
        <v>0</v>
      </c>
      <c r="L335" s="13">
        <f>I335*AP335</f>
        <v>0</v>
      </c>
      <c r="M335" s="13">
        <f>I335*J335</f>
        <v>0</v>
      </c>
      <c r="N335" s="13">
        <v>1.89077</v>
      </c>
      <c r="O335" s="10" t="s">
        <v>851</v>
      </c>
      <c r="Z335" s="13">
        <f>IF(AQ335="5",BJ335,0)</f>
        <v>0</v>
      </c>
      <c r="AB335" s="13">
        <f>IF(AQ335="1",BH335,0)</f>
        <v>0</v>
      </c>
      <c r="AC335" s="13">
        <f>IF(AQ335="1",BI335,0)</f>
        <v>0</v>
      </c>
      <c r="AD335" s="13">
        <f>IF(AQ335="7",BH335,0)</f>
        <v>0</v>
      </c>
      <c r="AE335" s="13">
        <f>IF(AQ335="7",BI335,0)</f>
        <v>0</v>
      </c>
      <c r="AF335" s="13">
        <f>IF(AQ335="2",BH335,0)</f>
        <v>0</v>
      </c>
      <c r="AG335" s="13">
        <f>IF(AQ335="2",BI335,0)</f>
        <v>0</v>
      </c>
      <c r="AH335" s="13">
        <f>IF(AQ335="0",BJ335,0)</f>
        <v>0</v>
      </c>
      <c r="AI335" s="21" t="s">
        <v>1104</v>
      </c>
      <c r="AJ335" s="13">
        <f>IF(AN335=0,M335,0)</f>
        <v>0</v>
      </c>
      <c r="AK335" s="13">
        <f>IF(AN335=15,M335,0)</f>
        <v>0</v>
      </c>
      <c r="AL335" s="13">
        <f>IF(AN335=21,M335,0)</f>
        <v>0</v>
      </c>
      <c r="AN335" s="13">
        <v>21</v>
      </c>
      <c r="AO335" s="13">
        <f>J335*0.480904550852644</f>
        <v>0</v>
      </c>
      <c r="AP335" s="13">
        <f>J335*(1-0.480904550852644)</f>
        <v>0</v>
      </c>
      <c r="AQ335" s="32" t="s">
        <v>1231</v>
      </c>
      <c r="AV335" s="13">
        <f>AW335+AX335</f>
        <v>0</v>
      </c>
      <c r="AW335" s="13">
        <f>I335*AO335</f>
        <v>0</v>
      </c>
      <c r="AX335" s="13">
        <f>I335*AP335</f>
        <v>0</v>
      </c>
      <c r="AY335" s="32" t="s">
        <v>594</v>
      </c>
      <c r="AZ335" s="32" t="s">
        <v>87</v>
      </c>
      <c r="BA335" s="21" t="s">
        <v>980</v>
      </c>
      <c r="BC335" s="13">
        <f>AW335+AX335</f>
        <v>0</v>
      </c>
      <c r="BD335" s="13">
        <f>J335/(100-BE335)*100</f>
        <v>0</v>
      </c>
      <c r="BE335" s="13">
        <v>0</v>
      </c>
      <c r="BF335" s="13">
        <f>335</f>
        <v>335</v>
      </c>
      <c r="BH335" s="13">
        <f>I335*AO335</f>
        <v>0</v>
      </c>
      <c r="BI335" s="13">
        <f>I335*AP335</f>
        <v>0</v>
      </c>
      <c r="BJ335" s="13">
        <f>I335*J335</f>
        <v>0</v>
      </c>
      <c r="BK335" s="13"/>
      <c r="BL335" s="13">
        <v>45</v>
      </c>
    </row>
    <row r="336" spans="1:47" ht="15" customHeight="1">
      <c r="A336" s="30" t="s">
        <v>862</v>
      </c>
      <c r="B336" s="18" t="s">
        <v>1104</v>
      </c>
      <c r="C336" s="18" t="s">
        <v>57</v>
      </c>
      <c r="D336" s="73" t="s">
        <v>93</v>
      </c>
      <c r="E336" s="73"/>
      <c r="F336" s="73"/>
      <c r="G336" s="73"/>
      <c r="H336" s="15" t="s">
        <v>1148</v>
      </c>
      <c r="I336" s="15" t="s">
        <v>1148</v>
      </c>
      <c r="J336" s="15" t="s">
        <v>1148</v>
      </c>
      <c r="K336" s="56">
        <f>SUM(K337:K341)</f>
        <v>0</v>
      </c>
      <c r="L336" s="56">
        <f>SUM(L337:L341)</f>
        <v>0</v>
      </c>
      <c r="M336" s="56">
        <f>SUM(M337:M341)</f>
        <v>0</v>
      </c>
      <c r="N336" s="21" t="s">
        <v>862</v>
      </c>
      <c r="O336" s="47" t="s">
        <v>862</v>
      </c>
      <c r="AI336" s="21" t="s">
        <v>1104</v>
      </c>
      <c r="AS336" s="56">
        <f>SUM(AJ337:AJ341)</f>
        <v>0</v>
      </c>
      <c r="AT336" s="56">
        <f>SUM(AK337:AK341)</f>
        <v>0</v>
      </c>
      <c r="AU336" s="56">
        <f>SUM(AL337:AL341)</f>
        <v>0</v>
      </c>
    </row>
    <row r="337" spans="1:64" ht="15" customHeight="1">
      <c r="A337" s="11" t="s">
        <v>606</v>
      </c>
      <c r="B337" s="48" t="s">
        <v>1104</v>
      </c>
      <c r="C337" s="48" t="s">
        <v>137</v>
      </c>
      <c r="D337" s="61" t="s">
        <v>1183</v>
      </c>
      <c r="E337" s="61"/>
      <c r="F337" s="61"/>
      <c r="G337" s="61"/>
      <c r="H337" s="48" t="s">
        <v>1018</v>
      </c>
      <c r="I337" s="13">
        <v>280.6</v>
      </c>
      <c r="J337" s="13">
        <v>0</v>
      </c>
      <c r="K337" s="13">
        <f>I337*AO337</f>
        <v>0</v>
      </c>
      <c r="L337" s="13">
        <f>I337*AP337</f>
        <v>0</v>
      </c>
      <c r="M337" s="13">
        <f>I337*J337</f>
        <v>0</v>
      </c>
      <c r="N337" s="13">
        <v>0</v>
      </c>
      <c r="O337" s="10" t="s">
        <v>851</v>
      </c>
      <c r="Z337" s="13">
        <f>IF(AQ337="5",BJ337,0)</f>
        <v>0</v>
      </c>
      <c r="AB337" s="13">
        <f>IF(AQ337="1",BH337,0)</f>
        <v>0</v>
      </c>
      <c r="AC337" s="13">
        <f>IF(AQ337="1",BI337,0)</f>
        <v>0</v>
      </c>
      <c r="AD337" s="13">
        <f>IF(AQ337="7",BH337,0)</f>
        <v>0</v>
      </c>
      <c r="AE337" s="13">
        <f>IF(AQ337="7",BI337,0)</f>
        <v>0</v>
      </c>
      <c r="AF337" s="13">
        <f>IF(AQ337="2",BH337,0)</f>
        <v>0</v>
      </c>
      <c r="AG337" s="13">
        <f>IF(AQ337="2",BI337,0)</f>
        <v>0</v>
      </c>
      <c r="AH337" s="13">
        <f>IF(AQ337="0",BJ337,0)</f>
        <v>0</v>
      </c>
      <c r="AI337" s="21" t="s">
        <v>1104</v>
      </c>
      <c r="AJ337" s="13">
        <f>IF(AN337=0,M337,0)</f>
        <v>0</v>
      </c>
      <c r="AK337" s="13">
        <f>IF(AN337=15,M337,0)</f>
        <v>0</v>
      </c>
      <c r="AL337" s="13">
        <f>IF(AN337=21,M337,0)</f>
        <v>0</v>
      </c>
      <c r="AN337" s="13">
        <v>21</v>
      </c>
      <c r="AO337" s="13">
        <f>J337*0.00459770114942529</f>
        <v>0</v>
      </c>
      <c r="AP337" s="13">
        <f>J337*(1-0.00459770114942529)</f>
        <v>0</v>
      </c>
      <c r="AQ337" s="32" t="s">
        <v>1231</v>
      </c>
      <c r="AV337" s="13">
        <f>AW337+AX337</f>
        <v>0</v>
      </c>
      <c r="AW337" s="13">
        <f>I337*AO337</f>
        <v>0</v>
      </c>
      <c r="AX337" s="13">
        <f>I337*AP337</f>
        <v>0</v>
      </c>
      <c r="AY337" s="32" t="s">
        <v>81</v>
      </c>
      <c r="AZ337" s="32" t="s">
        <v>181</v>
      </c>
      <c r="BA337" s="21" t="s">
        <v>980</v>
      </c>
      <c r="BC337" s="13">
        <f>AW337+AX337</f>
        <v>0</v>
      </c>
      <c r="BD337" s="13">
        <f>J337/(100-BE337)*100</f>
        <v>0</v>
      </c>
      <c r="BE337" s="13">
        <v>0</v>
      </c>
      <c r="BF337" s="13">
        <f>337</f>
        <v>337</v>
      </c>
      <c r="BH337" s="13">
        <f>I337*AO337</f>
        <v>0</v>
      </c>
      <c r="BI337" s="13">
        <f>I337*AP337</f>
        <v>0</v>
      </c>
      <c r="BJ337" s="13">
        <f>I337*J337</f>
        <v>0</v>
      </c>
      <c r="BK337" s="13"/>
      <c r="BL337" s="13">
        <v>87</v>
      </c>
    </row>
    <row r="338" spans="1:64" ht="15" customHeight="1">
      <c r="A338" s="11" t="s">
        <v>771</v>
      </c>
      <c r="B338" s="48" t="s">
        <v>1104</v>
      </c>
      <c r="C338" s="48" t="s">
        <v>1105</v>
      </c>
      <c r="D338" s="61" t="s">
        <v>1286</v>
      </c>
      <c r="E338" s="61"/>
      <c r="F338" s="61"/>
      <c r="G338" s="61"/>
      <c r="H338" s="48" t="s">
        <v>299</v>
      </c>
      <c r="I338" s="13">
        <v>94</v>
      </c>
      <c r="J338" s="13">
        <v>0</v>
      </c>
      <c r="K338" s="13">
        <f>I338*AO338</f>
        <v>0</v>
      </c>
      <c r="L338" s="13">
        <f>I338*AP338</f>
        <v>0</v>
      </c>
      <c r="M338" s="13">
        <f>I338*J338</f>
        <v>0</v>
      </c>
      <c r="N338" s="13">
        <v>0.0088</v>
      </c>
      <c r="O338" s="10" t="s">
        <v>851</v>
      </c>
      <c r="Z338" s="13">
        <f>IF(AQ338="5",BJ338,0)</f>
        <v>0</v>
      </c>
      <c r="AB338" s="13">
        <f>IF(AQ338="1",BH338,0)</f>
        <v>0</v>
      </c>
      <c r="AC338" s="13">
        <f>IF(AQ338="1",BI338,0)</f>
        <v>0</v>
      </c>
      <c r="AD338" s="13">
        <f>IF(AQ338="7",BH338,0)</f>
        <v>0</v>
      </c>
      <c r="AE338" s="13">
        <f>IF(AQ338="7",BI338,0)</f>
        <v>0</v>
      </c>
      <c r="AF338" s="13">
        <f>IF(AQ338="2",BH338,0)</f>
        <v>0</v>
      </c>
      <c r="AG338" s="13">
        <f>IF(AQ338="2",BI338,0)</f>
        <v>0</v>
      </c>
      <c r="AH338" s="13">
        <f>IF(AQ338="0",BJ338,0)</f>
        <v>0</v>
      </c>
      <c r="AI338" s="21" t="s">
        <v>1104</v>
      </c>
      <c r="AJ338" s="13">
        <f>IF(AN338=0,M338,0)</f>
        <v>0</v>
      </c>
      <c r="AK338" s="13">
        <f>IF(AN338=15,M338,0)</f>
        <v>0</v>
      </c>
      <c r="AL338" s="13">
        <f>IF(AN338=21,M338,0)</f>
        <v>0</v>
      </c>
      <c r="AN338" s="13">
        <v>21</v>
      </c>
      <c r="AO338" s="13">
        <f>J338*1</f>
        <v>0</v>
      </c>
      <c r="AP338" s="13">
        <f>J338*(1-1)</f>
        <v>0</v>
      </c>
      <c r="AQ338" s="32" t="s">
        <v>1231</v>
      </c>
      <c r="AV338" s="13">
        <f>AW338+AX338</f>
        <v>0</v>
      </c>
      <c r="AW338" s="13">
        <f>I338*AO338</f>
        <v>0</v>
      </c>
      <c r="AX338" s="13">
        <f>I338*AP338</f>
        <v>0</v>
      </c>
      <c r="AY338" s="32" t="s">
        <v>81</v>
      </c>
      <c r="AZ338" s="32" t="s">
        <v>181</v>
      </c>
      <c r="BA338" s="21" t="s">
        <v>980</v>
      </c>
      <c r="BC338" s="13">
        <f>AW338+AX338</f>
        <v>0</v>
      </c>
      <c r="BD338" s="13">
        <f>J338/(100-BE338)*100</f>
        <v>0</v>
      </c>
      <c r="BE338" s="13">
        <v>0</v>
      </c>
      <c r="BF338" s="13">
        <f>338</f>
        <v>338</v>
      </c>
      <c r="BH338" s="13">
        <f>I338*AO338</f>
        <v>0</v>
      </c>
      <c r="BI338" s="13">
        <f>I338*AP338</f>
        <v>0</v>
      </c>
      <c r="BJ338" s="13">
        <f>I338*J338</f>
        <v>0</v>
      </c>
      <c r="BK338" s="13"/>
      <c r="BL338" s="13">
        <v>87</v>
      </c>
    </row>
    <row r="339" spans="1:64" ht="15" customHeight="1">
      <c r="A339" s="11" t="s">
        <v>1179</v>
      </c>
      <c r="B339" s="48" t="s">
        <v>1104</v>
      </c>
      <c r="C339" s="48" t="s">
        <v>1221</v>
      </c>
      <c r="D339" s="61" t="s">
        <v>72</v>
      </c>
      <c r="E339" s="61"/>
      <c r="F339" s="61"/>
      <c r="G339" s="61"/>
      <c r="H339" s="48" t="s">
        <v>299</v>
      </c>
      <c r="I339" s="13">
        <v>92</v>
      </c>
      <c r="J339" s="13">
        <v>0</v>
      </c>
      <c r="K339" s="13">
        <f>I339*AO339</f>
        <v>0</v>
      </c>
      <c r="L339" s="13">
        <f>I339*AP339</f>
        <v>0</v>
      </c>
      <c r="M339" s="13">
        <f>I339*J339</f>
        <v>0</v>
      </c>
      <c r="N339" s="13">
        <v>1E-05</v>
      </c>
      <c r="O339" s="10" t="s">
        <v>851</v>
      </c>
      <c r="Z339" s="13">
        <f>IF(AQ339="5",BJ339,0)</f>
        <v>0</v>
      </c>
      <c r="AB339" s="13">
        <f>IF(AQ339="1",BH339,0)</f>
        <v>0</v>
      </c>
      <c r="AC339" s="13">
        <f>IF(AQ339="1",BI339,0)</f>
        <v>0</v>
      </c>
      <c r="AD339" s="13">
        <f>IF(AQ339="7",BH339,0)</f>
        <v>0</v>
      </c>
      <c r="AE339" s="13">
        <f>IF(AQ339="7",BI339,0)</f>
        <v>0</v>
      </c>
      <c r="AF339" s="13">
        <f>IF(AQ339="2",BH339,0)</f>
        <v>0</v>
      </c>
      <c r="AG339" s="13">
        <f>IF(AQ339="2",BI339,0)</f>
        <v>0</v>
      </c>
      <c r="AH339" s="13">
        <f>IF(AQ339="0",BJ339,0)</f>
        <v>0</v>
      </c>
      <c r="AI339" s="21" t="s">
        <v>1104</v>
      </c>
      <c r="AJ339" s="13">
        <f>IF(AN339=0,M339,0)</f>
        <v>0</v>
      </c>
      <c r="AK339" s="13">
        <f>IF(AN339=15,M339,0)</f>
        <v>0</v>
      </c>
      <c r="AL339" s="13">
        <f>IF(AN339=21,M339,0)</f>
        <v>0</v>
      </c>
      <c r="AN339" s="13">
        <v>21</v>
      </c>
      <c r="AO339" s="13">
        <f>J339*0.00526881720430108</f>
        <v>0</v>
      </c>
      <c r="AP339" s="13">
        <f>J339*(1-0.00526881720430108)</f>
        <v>0</v>
      </c>
      <c r="AQ339" s="32" t="s">
        <v>1231</v>
      </c>
      <c r="AV339" s="13">
        <f>AW339+AX339</f>
        <v>0</v>
      </c>
      <c r="AW339" s="13">
        <f>I339*AO339</f>
        <v>0</v>
      </c>
      <c r="AX339" s="13">
        <f>I339*AP339</f>
        <v>0</v>
      </c>
      <c r="AY339" s="32" t="s">
        <v>81</v>
      </c>
      <c r="AZ339" s="32" t="s">
        <v>181</v>
      </c>
      <c r="BA339" s="21" t="s">
        <v>980</v>
      </c>
      <c r="BC339" s="13">
        <f>AW339+AX339</f>
        <v>0</v>
      </c>
      <c r="BD339" s="13">
        <f>J339/(100-BE339)*100</f>
        <v>0</v>
      </c>
      <c r="BE339" s="13">
        <v>0</v>
      </c>
      <c r="BF339" s="13">
        <f>339</f>
        <v>339</v>
      </c>
      <c r="BH339" s="13">
        <f>I339*AO339</f>
        <v>0</v>
      </c>
      <c r="BI339" s="13">
        <f>I339*AP339</f>
        <v>0</v>
      </c>
      <c r="BJ339" s="13">
        <f>I339*J339</f>
        <v>0</v>
      </c>
      <c r="BK339" s="13"/>
      <c r="BL339" s="13">
        <v>87</v>
      </c>
    </row>
    <row r="340" spans="1:64" ht="15" customHeight="1">
      <c r="A340" s="11" t="s">
        <v>259</v>
      </c>
      <c r="B340" s="48" t="s">
        <v>1104</v>
      </c>
      <c r="C340" s="48" t="s">
        <v>89</v>
      </c>
      <c r="D340" s="61" t="s">
        <v>284</v>
      </c>
      <c r="E340" s="61"/>
      <c r="F340" s="61"/>
      <c r="G340" s="61"/>
      <c r="H340" s="48" t="s">
        <v>299</v>
      </c>
      <c r="I340" s="13">
        <v>46</v>
      </c>
      <c r="J340" s="13">
        <v>0</v>
      </c>
      <c r="K340" s="13">
        <f>I340*AO340</f>
        <v>0</v>
      </c>
      <c r="L340" s="13">
        <f>I340*AP340</f>
        <v>0</v>
      </c>
      <c r="M340" s="13">
        <f>I340*J340</f>
        <v>0</v>
      </c>
      <c r="N340" s="13">
        <v>0.00057</v>
      </c>
      <c r="O340" s="10" t="s">
        <v>851</v>
      </c>
      <c r="Z340" s="13">
        <f>IF(AQ340="5",BJ340,0)</f>
        <v>0</v>
      </c>
      <c r="AB340" s="13">
        <f>IF(AQ340="1",BH340,0)</f>
        <v>0</v>
      </c>
      <c r="AC340" s="13">
        <f>IF(AQ340="1",BI340,0)</f>
        <v>0</v>
      </c>
      <c r="AD340" s="13">
        <f>IF(AQ340="7",BH340,0)</f>
        <v>0</v>
      </c>
      <c r="AE340" s="13">
        <f>IF(AQ340="7",BI340,0)</f>
        <v>0</v>
      </c>
      <c r="AF340" s="13">
        <f>IF(AQ340="2",BH340,0)</f>
        <v>0</v>
      </c>
      <c r="AG340" s="13">
        <f>IF(AQ340="2",BI340,0)</f>
        <v>0</v>
      </c>
      <c r="AH340" s="13">
        <f>IF(AQ340="0",BJ340,0)</f>
        <v>0</v>
      </c>
      <c r="AI340" s="21" t="s">
        <v>1104</v>
      </c>
      <c r="AJ340" s="13">
        <f>IF(AN340=0,M340,0)</f>
        <v>0</v>
      </c>
      <c r="AK340" s="13">
        <f>IF(AN340=15,M340,0)</f>
        <v>0</v>
      </c>
      <c r="AL340" s="13">
        <f>IF(AN340=21,M340,0)</f>
        <v>0</v>
      </c>
      <c r="AN340" s="13">
        <v>21</v>
      </c>
      <c r="AO340" s="13">
        <f>J340*1</f>
        <v>0</v>
      </c>
      <c r="AP340" s="13">
        <f>J340*(1-1)</f>
        <v>0</v>
      </c>
      <c r="AQ340" s="32" t="s">
        <v>1231</v>
      </c>
      <c r="AV340" s="13">
        <f>AW340+AX340</f>
        <v>0</v>
      </c>
      <c r="AW340" s="13">
        <f>I340*AO340</f>
        <v>0</v>
      </c>
      <c r="AX340" s="13">
        <f>I340*AP340</f>
        <v>0</v>
      </c>
      <c r="AY340" s="32" t="s">
        <v>81</v>
      </c>
      <c r="AZ340" s="32" t="s">
        <v>181</v>
      </c>
      <c r="BA340" s="21" t="s">
        <v>980</v>
      </c>
      <c r="BC340" s="13">
        <f>AW340+AX340</f>
        <v>0</v>
      </c>
      <c r="BD340" s="13">
        <f>J340/(100-BE340)*100</f>
        <v>0</v>
      </c>
      <c r="BE340" s="13">
        <v>0</v>
      </c>
      <c r="BF340" s="13">
        <f>340</f>
        <v>340</v>
      </c>
      <c r="BH340" s="13">
        <f>I340*AO340</f>
        <v>0</v>
      </c>
      <c r="BI340" s="13">
        <f>I340*AP340</f>
        <v>0</v>
      </c>
      <c r="BJ340" s="13">
        <f>I340*J340</f>
        <v>0</v>
      </c>
      <c r="BK340" s="13"/>
      <c r="BL340" s="13">
        <v>87</v>
      </c>
    </row>
    <row r="341" spans="1:64" ht="15" customHeight="1">
      <c r="A341" s="11" t="s">
        <v>1200</v>
      </c>
      <c r="B341" s="48" t="s">
        <v>1104</v>
      </c>
      <c r="C341" s="48" t="s">
        <v>71</v>
      </c>
      <c r="D341" s="61" t="s">
        <v>1266</v>
      </c>
      <c r="E341" s="61"/>
      <c r="F341" s="61"/>
      <c r="G341" s="61"/>
      <c r="H341" s="48" t="s">
        <v>299</v>
      </c>
      <c r="I341" s="13">
        <v>46</v>
      </c>
      <c r="J341" s="13">
        <v>0</v>
      </c>
      <c r="K341" s="13">
        <f>I341*AO341</f>
        <v>0</v>
      </c>
      <c r="L341" s="13">
        <f>I341*AP341</f>
        <v>0</v>
      </c>
      <c r="M341" s="13">
        <f>I341*J341</f>
        <v>0</v>
      </c>
      <c r="N341" s="13">
        <v>0.00049</v>
      </c>
      <c r="O341" s="10" t="s">
        <v>851</v>
      </c>
      <c r="Z341" s="13">
        <f>IF(AQ341="5",BJ341,0)</f>
        <v>0</v>
      </c>
      <c r="AB341" s="13">
        <f>IF(AQ341="1",BH341,0)</f>
        <v>0</v>
      </c>
      <c r="AC341" s="13">
        <f>IF(AQ341="1",BI341,0)</f>
        <v>0</v>
      </c>
      <c r="AD341" s="13">
        <f>IF(AQ341="7",BH341,0)</f>
        <v>0</v>
      </c>
      <c r="AE341" s="13">
        <f>IF(AQ341="7",BI341,0)</f>
        <v>0</v>
      </c>
      <c r="AF341" s="13">
        <f>IF(AQ341="2",BH341,0)</f>
        <v>0</v>
      </c>
      <c r="AG341" s="13">
        <f>IF(AQ341="2",BI341,0)</f>
        <v>0</v>
      </c>
      <c r="AH341" s="13">
        <f>IF(AQ341="0",BJ341,0)</f>
        <v>0</v>
      </c>
      <c r="AI341" s="21" t="s">
        <v>1104</v>
      </c>
      <c r="AJ341" s="13">
        <f>IF(AN341=0,M341,0)</f>
        <v>0</v>
      </c>
      <c r="AK341" s="13">
        <f>IF(AN341=15,M341,0)</f>
        <v>0</v>
      </c>
      <c r="AL341" s="13">
        <f>IF(AN341=21,M341,0)</f>
        <v>0</v>
      </c>
      <c r="AN341" s="13">
        <v>21</v>
      </c>
      <c r="AO341" s="13">
        <f>J341*1</f>
        <v>0</v>
      </c>
      <c r="AP341" s="13">
        <f>J341*(1-1)</f>
        <v>0</v>
      </c>
      <c r="AQ341" s="32" t="s">
        <v>1231</v>
      </c>
      <c r="AV341" s="13">
        <f>AW341+AX341</f>
        <v>0</v>
      </c>
      <c r="AW341" s="13">
        <f>I341*AO341</f>
        <v>0</v>
      </c>
      <c r="AX341" s="13">
        <f>I341*AP341</f>
        <v>0</v>
      </c>
      <c r="AY341" s="32" t="s">
        <v>81</v>
      </c>
      <c r="AZ341" s="32" t="s">
        <v>181</v>
      </c>
      <c r="BA341" s="21" t="s">
        <v>980</v>
      </c>
      <c r="BC341" s="13">
        <f>AW341+AX341</f>
        <v>0</v>
      </c>
      <c r="BD341" s="13">
        <f>J341/(100-BE341)*100</f>
        <v>0</v>
      </c>
      <c r="BE341" s="13">
        <v>0</v>
      </c>
      <c r="BF341" s="13">
        <f>341</f>
        <v>341</v>
      </c>
      <c r="BH341" s="13">
        <f>I341*AO341</f>
        <v>0</v>
      </c>
      <c r="BI341" s="13">
        <f>I341*AP341</f>
        <v>0</v>
      </c>
      <c r="BJ341" s="13">
        <f>I341*J341</f>
        <v>0</v>
      </c>
      <c r="BK341" s="13"/>
      <c r="BL341" s="13">
        <v>87</v>
      </c>
    </row>
    <row r="342" spans="1:47" ht="15" customHeight="1">
      <c r="A342" s="30" t="s">
        <v>862</v>
      </c>
      <c r="B342" s="18" t="s">
        <v>1104</v>
      </c>
      <c r="C342" s="18" t="s">
        <v>1308</v>
      </c>
      <c r="D342" s="73" t="s">
        <v>805</v>
      </c>
      <c r="E342" s="73"/>
      <c r="F342" s="73"/>
      <c r="G342" s="73"/>
      <c r="H342" s="15" t="s">
        <v>1148</v>
      </c>
      <c r="I342" s="15" t="s">
        <v>1148</v>
      </c>
      <c r="J342" s="15" t="s">
        <v>1148</v>
      </c>
      <c r="K342" s="56">
        <f>SUM(K343:K345)</f>
        <v>0</v>
      </c>
      <c r="L342" s="56">
        <f>SUM(L343:L345)</f>
        <v>0</v>
      </c>
      <c r="M342" s="56">
        <f>SUM(M343:M345)</f>
        <v>0</v>
      </c>
      <c r="N342" s="21" t="s">
        <v>862</v>
      </c>
      <c r="O342" s="47" t="s">
        <v>862</v>
      </c>
      <c r="AI342" s="21" t="s">
        <v>1104</v>
      </c>
      <c r="AS342" s="56">
        <f>SUM(AJ343:AJ345)</f>
        <v>0</v>
      </c>
      <c r="AT342" s="56">
        <f>SUM(AK343:AK345)</f>
        <v>0</v>
      </c>
      <c r="AU342" s="56">
        <f>SUM(AL343:AL345)</f>
        <v>0</v>
      </c>
    </row>
    <row r="343" spans="1:64" ht="15" customHeight="1">
      <c r="A343" s="11" t="s">
        <v>497</v>
      </c>
      <c r="B343" s="48" t="s">
        <v>1104</v>
      </c>
      <c r="C343" s="48" t="s">
        <v>732</v>
      </c>
      <c r="D343" s="61" t="s">
        <v>1388</v>
      </c>
      <c r="E343" s="61"/>
      <c r="F343" s="61"/>
      <c r="G343" s="61"/>
      <c r="H343" s="48" t="s">
        <v>1018</v>
      </c>
      <c r="I343" s="13">
        <v>266.8</v>
      </c>
      <c r="J343" s="13">
        <v>0</v>
      </c>
      <c r="K343" s="13">
        <f>I343*AO343</f>
        <v>0</v>
      </c>
      <c r="L343" s="13">
        <f>I343*AP343</f>
        <v>0</v>
      </c>
      <c r="M343" s="13">
        <f>I343*J343</f>
        <v>0</v>
      </c>
      <c r="N343" s="13">
        <v>0</v>
      </c>
      <c r="O343" s="10" t="s">
        <v>851</v>
      </c>
      <c r="Z343" s="13">
        <f>IF(AQ343="5",BJ343,0)</f>
        <v>0</v>
      </c>
      <c r="AB343" s="13">
        <f>IF(AQ343="1",BH343,0)</f>
        <v>0</v>
      </c>
      <c r="AC343" s="13">
        <f>IF(AQ343="1",BI343,0)</f>
        <v>0</v>
      </c>
      <c r="AD343" s="13">
        <f>IF(AQ343="7",BH343,0)</f>
        <v>0</v>
      </c>
      <c r="AE343" s="13">
        <f>IF(AQ343="7",BI343,0)</f>
        <v>0</v>
      </c>
      <c r="AF343" s="13">
        <f>IF(AQ343="2",BH343,0)</f>
        <v>0</v>
      </c>
      <c r="AG343" s="13">
        <f>IF(AQ343="2",BI343,0)</f>
        <v>0</v>
      </c>
      <c r="AH343" s="13">
        <f>IF(AQ343="0",BJ343,0)</f>
        <v>0</v>
      </c>
      <c r="AI343" s="21" t="s">
        <v>1104</v>
      </c>
      <c r="AJ343" s="13">
        <f>IF(AN343=0,M343,0)</f>
        <v>0</v>
      </c>
      <c r="AK343" s="13">
        <f>IF(AN343=15,M343,0)</f>
        <v>0</v>
      </c>
      <c r="AL343" s="13">
        <f>IF(AN343=21,M343,0)</f>
        <v>0</v>
      </c>
      <c r="AN343" s="13">
        <v>21</v>
      </c>
      <c r="AO343" s="13">
        <f>J343*0.055</f>
        <v>0</v>
      </c>
      <c r="AP343" s="13">
        <f>J343*(1-0.055)</f>
        <v>0</v>
      </c>
      <c r="AQ343" s="32" t="s">
        <v>1231</v>
      </c>
      <c r="AV343" s="13">
        <f>AW343+AX343</f>
        <v>0</v>
      </c>
      <c r="AW343" s="13">
        <f>I343*AO343</f>
        <v>0</v>
      </c>
      <c r="AX343" s="13">
        <f>I343*AP343</f>
        <v>0</v>
      </c>
      <c r="AY343" s="32" t="s">
        <v>98</v>
      </c>
      <c r="AZ343" s="32" t="s">
        <v>181</v>
      </c>
      <c r="BA343" s="21" t="s">
        <v>980</v>
      </c>
      <c r="BC343" s="13">
        <f>AW343+AX343</f>
        <v>0</v>
      </c>
      <c r="BD343" s="13">
        <f>J343/(100-BE343)*100</f>
        <v>0</v>
      </c>
      <c r="BE343" s="13">
        <v>0</v>
      </c>
      <c r="BF343" s="13">
        <f>343</f>
        <v>343</v>
      </c>
      <c r="BH343" s="13">
        <f>I343*AO343</f>
        <v>0</v>
      </c>
      <c r="BI343" s="13">
        <f>I343*AP343</f>
        <v>0</v>
      </c>
      <c r="BJ343" s="13">
        <f>I343*J343</f>
        <v>0</v>
      </c>
      <c r="BK343" s="13"/>
      <c r="BL343" s="13">
        <v>89</v>
      </c>
    </row>
    <row r="344" spans="1:64" ht="15" customHeight="1">
      <c r="A344" s="11" t="s">
        <v>14</v>
      </c>
      <c r="B344" s="48" t="s">
        <v>1104</v>
      </c>
      <c r="C344" s="48" t="s">
        <v>656</v>
      </c>
      <c r="D344" s="61" t="s">
        <v>325</v>
      </c>
      <c r="E344" s="61"/>
      <c r="F344" s="61"/>
      <c r="G344" s="61"/>
      <c r="H344" s="48" t="s">
        <v>241</v>
      </c>
      <c r="I344" s="13">
        <v>46</v>
      </c>
      <c r="J344" s="13">
        <v>0</v>
      </c>
      <c r="K344" s="13">
        <f>I344*AO344</f>
        <v>0</v>
      </c>
      <c r="L344" s="13">
        <f>I344*AP344</f>
        <v>0</v>
      </c>
      <c r="M344" s="13">
        <f>I344*J344</f>
        <v>0</v>
      </c>
      <c r="N344" s="13">
        <v>2E-05</v>
      </c>
      <c r="O344" s="10" t="s">
        <v>851</v>
      </c>
      <c r="Z344" s="13">
        <f>IF(AQ344="5",BJ344,0)</f>
        <v>0</v>
      </c>
      <c r="AB344" s="13">
        <f>IF(AQ344="1",BH344,0)</f>
        <v>0</v>
      </c>
      <c r="AC344" s="13">
        <f>IF(AQ344="1",BI344,0)</f>
        <v>0</v>
      </c>
      <c r="AD344" s="13">
        <f>IF(AQ344="7",BH344,0)</f>
        <v>0</v>
      </c>
      <c r="AE344" s="13">
        <f>IF(AQ344="7",BI344,0)</f>
        <v>0</v>
      </c>
      <c r="AF344" s="13">
        <f>IF(AQ344="2",BH344,0)</f>
        <v>0</v>
      </c>
      <c r="AG344" s="13">
        <f>IF(AQ344="2",BI344,0)</f>
        <v>0</v>
      </c>
      <c r="AH344" s="13">
        <f>IF(AQ344="0",BJ344,0)</f>
        <v>0</v>
      </c>
      <c r="AI344" s="21" t="s">
        <v>1104</v>
      </c>
      <c r="AJ344" s="13">
        <f>IF(AN344=0,M344,0)</f>
        <v>0</v>
      </c>
      <c r="AK344" s="13">
        <f>IF(AN344=15,M344,0)</f>
        <v>0</v>
      </c>
      <c r="AL344" s="13">
        <f>IF(AN344=21,M344,0)</f>
        <v>0</v>
      </c>
      <c r="AN344" s="13">
        <v>21</v>
      </c>
      <c r="AO344" s="13">
        <f>J344*0.33300395256917</f>
        <v>0</v>
      </c>
      <c r="AP344" s="13">
        <f>J344*(1-0.33300395256917)</f>
        <v>0</v>
      </c>
      <c r="AQ344" s="32" t="s">
        <v>1231</v>
      </c>
      <c r="AV344" s="13">
        <f>AW344+AX344</f>
        <v>0</v>
      </c>
      <c r="AW344" s="13">
        <f>I344*AO344</f>
        <v>0</v>
      </c>
      <c r="AX344" s="13">
        <f>I344*AP344</f>
        <v>0</v>
      </c>
      <c r="AY344" s="32" t="s">
        <v>98</v>
      </c>
      <c r="AZ344" s="32" t="s">
        <v>181</v>
      </c>
      <c r="BA344" s="21" t="s">
        <v>980</v>
      </c>
      <c r="BC344" s="13">
        <f>AW344+AX344</f>
        <v>0</v>
      </c>
      <c r="BD344" s="13">
        <f>J344/(100-BE344)*100</f>
        <v>0</v>
      </c>
      <c r="BE344" s="13">
        <v>0</v>
      </c>
      <c r="BF344" s="13">
        <f>344</f>
        <v>344</v>
      </c>
      <c r="BH344" s="13">
        <f>I344*AO344</f>
        <v>0</v>
      </c>
      <c r="BI344" s="13">
        <f>I344*AP344</f>
        <v>0</v>
      </c>
      <c r="BJ344" s="13">
        <f>I344*J344</f>
        <v>0</v>
      </c>
      <c r="BK344" s="13"/>
      <c r="BL344" s="13">
        <v>89</v>
      </c>
    </row>
    <row r="345" spans="1:64" ht="15" customHeight="1">
      <c r="A345" s="11" t="s">
        <v>541</v>
      </c>
      <c r="B345" s="48" t="s">
        <v>1104</v>
      </c>
      <c r="C345" s="48" t="s">
        <v>178</v>
      </c>
      <c r="D345" s="61" t="s">
        <v>453</v>
      </c>
      <c r="E345" s="61"/>
      <c r="F345" s="61"/>
      <c r="G345" s="61"/>
      <c r="H345" s="48" t="s">
        <v>1018</v>
      </c>
      <c r="I345" s="13">
        <v>293.48</v>
      </c>
      <c r="J345" s="13">
        <v>0</v>
      </c>
      <c r="K345" s="13">
        <f>I345*AO345</f>
        <v>0</v>
      </c>
      <c r="L345" s="13">
        <f>I345*AP345</f>
        <v>0</v>
      </c>
      <c r="M345" s="13">
        <f>I345*J345</f>
        <v>0</v>
      </c>
      <c r="N345" s="13">
        <v>0</v>
      </c>
      <c r="O345" s="10" t="s">
        <v>851</v>
      </c>
      <c r="Z345" s="13">
        <f>IF(AQ345="5",BJ345,0)</f>
        <v>0</v>
      </c>
      <c r="AB345" s="13">
        <f>IF(AQ345="1",BH345,0)</f>
        <v>0</v>
      </c>
      <c r="AC345" s="13">
        <f>IF(AQ345="1",BI345,0)</f>
        <v>0</v>
      </c>
      <c r="AD345" s="13">
        <f>IF(AQ345="7",BH345,0)</f>
        <v>0</v>
      </c>
      <c r="AE345" s="13">
        <f>IF(AQ345="7",BI345,0)</f>
        <v>0</v>
      </c>
      <c r="AF345" s="13">
        <f>IF(AQ345="2",BH345,0)</f>
        <v>0</v>
      </c>
      <c r="AG345" s="13">
        <f>IF(AQ345="2",BI345,0)</f>
        <v>0</v>
      </c>
      <c r="AH345" s="13">
        <f>IF(AQ345="0",BJ345,0)</f>
        <v>0</v>
      </c>
      <c r="AI345" s="21" t="s">
        <v>1104</v>
      </c>
      <c r="AJ345" s="13">
        <f>IF(AN345=0,M345,0)</f>
        <v>0</v>
      </c>
      <c r="AK345" s="13">
        <f>IF(AN345=15,M345,0)</f>
        <v>0</v>
      </c>
      <c r="AL345" s="13">
        <f>IF(AN345=21,M345,0)</f>
        <v>0</v>
      </c>
      <c r="AN345" s="13">
        <v>21</v>
      </c>
      <c r="AO345" s="13">
        <f>J345*0.322424242424242</f>
        <v>0</v>
      </c>
      <c r="AP345" s="13">
        <f>J345*(1-0.322424242424242)</f>
        <v>0</v>
      </c>
      <c r="AQ345" s="32" t="s">
        <v>1231</v>
      </c>
      <c r="AV345" s="13">
        <f>AW345+AX345</f>
        <v>0</v>
      </c>
      <c r="AW345" s="13">
        <f>I345*AO345</f>
        <v>0</v>
      </c>
      <c r="AX345" s="13">
        <f>I345*AP345</f>
        <v>0</v>
      </c>
      <c r="AY345" s="32" t="s">
        <v>98</v>
      </c>
      <c r="AZ345" s="32" t="s">
        <v>181</v>
      </c>
      <c r="BA345" s="21" t="s">
        <v>980</v>
      </c>
      <c r="BC345" s="13">
        <f>AW345+AX345</f>
        <v>0</v>
      </c>
      <c r="BD345" s="13">
        <f>J345/(100-BE345)*100</f>
        <v>0</v>
      </c>
      <c r="BE345" s="13">
        <v>0</v>
      </c>
      <c r="BF345" s="13">
        <f>345</f>
        <v>345</v>
      </c>
      <c r="BH345" s="13">
        <f>I345*AO345</f>
        <v>0</v>
      </c>
      <c r="BI345" s="13">
        <f>I345*AP345</f>
        <v>0</v>
      </c>
      <c r="BJ345" s="13">
        <f>I345*J345</f>
        <v>0</v>
      </c>
      <c r="BK345" s="13"/>
      <c r="BL345" s="13">
        <v>89</v>
      </c>
    </row>
    <row r="346" spans="1:47" ht="15" customHeight="1">
      <c r="A346" s="30" t="s">
        <v>862</v>
      </c>
      <c r="B346" s="18" t="s">
        <v>1104</v>
      </c>
      <c r="C346" s="18" t="s">
        <v>55</v>
      </c>
      <c r="D346" s="73" t="s">
        <v>435</v>
      </c>
      <c r="E346" s="73"/>
      <c r="F346" s="73"/>
      <c r="G346" s="73"/>
      <c r="H346" s="15" t="s">
        <v>1148</v>
      </c>
      <c r="I346" s="15" t="s">
        <v>1148</v>
      </c>
      <c r="J346" s="15" t="s">
        <v>1148</v>
      </c>
      <c r="K346" s="56">
        <f>SUM(K347:K348)</f>
        <v>0</v>
      </c>
      <c r="L346" s="56">
        <f>SUM(L347:L348)</f>
        <v>0</v>
      </c>
      <c r="M346" s="56">
        <f>SUM(M347:M348)</f>
        <v>0</v>
      </c>
      <c r="N346" s="21" t="s">
        <v>862</v>
      </c>
      <c r="O346" s="47" t="s">
        <v>862</v>
      </c>
      <c r="AI346" s="21" t="s">
        <v>1104</v>
      </c>
      <c r="AS346" s="56">
        <f>SUM(AJ347:AJ348)</f>
        <v>0</v>
      </c>
      <c r="AT346" s="56">
        <f>SUM(AK347:AK348)</f>
        <v>0</v>
      </c>
      <c r="AU346" s="56">
        <f>SUM(AL347:AL348)</f>
        <v>0</v>
      </c>
    </row>
    <row r="347" spans="1:64" ht="15" customHeight="1">
      <c r="A347" s="11" t="s">
        <v>260</v>
      </c>
      <c r="B347" s="48" t="s">
        <v>1104</v>
      </c>
      <c r="C347" s="48" t="s">
        <v>22</v>
      </c>
      <c r="D347" s="61" t="s">
        <v>1259</v>
      </c>
      <c r="E347" s="61"/>
      <c r="F347" s="61"/>
      <c r="G347" s="61"/>
      <c r="H347" s="48" t="s">
        <v>1018</v>
      </c>
      <c r="I347" s="13">
        <v>299</v>
      </c>
      <c r="J347" s="13">
        <v>0</v>
      </c>
      <c r="K347" s="13">
        <f>I347*AO347</f>
        <v>0</v>
      </c>
      <c r="L347" s="13">
        <f>I347*AP347</f>
        <v>0</v>
      </c>
      <c r="M347" s="13">
        <f>I347*J347</f>
        <v>0</v>
      </c>
      <c r="N347" s="13">
        <v>0</v>
      </c>
      <c r="O347" s="10" t="s">
        <v>851</v>
      </c>
      <c r="Z347" s="13">
        <f>IF(AQ347="5",BJ347,0)</f>
        <v>0</v>
      </c>
      <c r="AB347" s="13">
        <f>IF(AQ347="1",BH347,0)</f>
        <v>0</v>
      </c>
      <c r="AC347" s="13">
        <f>IF(AQ347="1",BI347,0)</f>
        <v>0</v>
      </c>
      <c r="AD347" s="13">
        <f>IF(AQ347="7",BH347,0)</f>
        <v>0</v>
      </c>
      <c r="AE347" s="13">
        <f>IF(AQ347="7",BI347,0)</f>
        <v>0</v>
      </c>
      <c r="AF347" s="13">
        <f>IF(AQ347="2",BH347,0)</f>
        <v>0</v>
      </c>
      <c r="AG347" s="13">
        <f>IF(AQ347="2",BI347,0)</f>
        <v>0</v>
      </c>
      <c r="AH347" s="13">
        <f>IF(AQ347="0",BJ347,0)</f>
        <v>0</v>
      </c>
      <c r="AI347" s="21" t="s">
        <v>1104</v>
      </c>
      <c r="AJ347" s="13">
        <f>IF(AN347=0,M347,0)</f>
        <v>0</v>
      </c>
      <c r="AK347" s="13">
        <f>IF(AN347=15,M347,0)</f>
        <v>0</v>
      </c>
      <c r="AL347" s="13">
        <f>IF(AN347=21,M347,0)</f>
        <v>0</v>
      </c>
      <c r="AN347" s="13">
        <v>21</v>
      </c>
      <c r="AO347" s="13">
        <f>J347*0.563818166540627</f>
        <v>0</v>
      </c>
      <c r="AP347" s="13">
        <f>J347*(1-0.563818166540627)</f>
        <v>0</v>
      </c>
      <c r="AQ347" s="32" t="s">
        <v>1231</v>
      </c>
      <c r="AV347" s="13">
        <f>AW347+AX347</f>
        <v>0</v>
      </c>
      <c r="AW347" s="13">
        <f>I347*AO347</f>
        <v>0</v>
      </c>
      <c r="AX347" s="13">
        <f>I347*AP347</f>
        <v>0</v>
      </c>
      <c r="AY347" s="32" t="s">
        <v>1206</v>
      </c>
      <c r="AZ347" s="32" t="s">
        <v>1213</v>
      </c>
      <c r="BA347" s="21" t="s">
        <v>980</v>
      </c>
      <c r="BC347" s="13">
        <f>AW347+AX347</f>
        <v>0</v>
      </c>
      <c r="BD347" s="13">
        <f>J347/(100-BE347)*100</f>
        <v>0</v>
      </c>
      <c r="BE347" s="13">
        <v>0</v>
      </c>
      <c r="BF347" s="13">
        <f>347</f>
        <v>347</v>
      </c>
      <c r="BH347" s="13">
        <f>I347*AO347</f>
        <v>0</v>
      </c>
      <c r="BI347" s="13">
        <f>I347*AP347</f>
        <v>0</v>
      </c>
      <c r="BJ347" s="13">
        <f>I347*J347</f>
        <v>0</v>
      </c>
      <c r="BK347" s="13"/>
      <c r="BL347" s="13">
        <v>91</v>
      </c>
    </row>
    <row r="348" spans="1:64" ht="15" customHeight="1">
      <c r="A348" s="11" t="s">
        <v>673</v>
      </c>
      <c r="B348" s="48" t="s">
        <v>1104</v>
      </c>
      <c r="C348" s="48" t="s">
        <v>1070</v>
      </c>
      <c r="D348" s="61" t="s">
        <v>845</v>
      </c>
      <c r="E348" s="61"/>
      <c r="F348" s="61"/>
      <c r="G348" s="61"/>
      <c r="H348" s="48" t="s">
        <v>553</v>
      </c>
      <c r="I348" s="13">
        <v>503.26401</v>
      </c>
      <c r="J348" s="13">
        <v>0</v>
      </c>
      <c r="K348" s="13">
        <f>I348*AO348</f>
        <v>0</v>
      </c>
      <c r="L348" s="13">
        <f>I348*AP348</f>
        <v>0</v>
      </c>
      <c r="M348" s="13">
        <f>I348*J348</f>
        <v>0</v>
      </c>
      <c r="N348" s="13">
        <v>0</v>
      </c>
      <c r="O348" s="10" t="s">
        <v>851</v>
      </c>
      <c r="Z348" s="13">
        <f>IF(AQ348="5",BJ348,0)</f>
        <v>0</v>
      </c>
      <c r="AB348" s="13">
        <f>IF(AQ348="1",BH348,0)</f>
        <v>0</v>
      </c>
      <c r="AC348" s="13">
        <f>IF(AQ348="1",BI348,0)</f>
        <v>0</v>
      </c>
      <c r="AD348" s="13">
        <f>IF(AQ348="7",BH348,0)</f>
        <v>0</v>
      </c>
      <c r="AE348" s="13">
        <f>IF(AQ348="7",BI348,0)</f>
        <v>0</v>
      </c>
      <c r="AF348" s="13">
        <f>IF(AQ348="2",BH348,0)</f>
        <v>0</v>
      </c>
      <c r="AG348" s="13">
        <f>IF(AQ348="2",BI348,0)</f>
        <v>0</v>
      </c>
      <c r="AH348" s="13">
        <f>IF(AQ348="0",BJ348,0)</f>
        <v>0</v>
      </c>
      <c r="AI348" s="21" t="s">
        <v>1104</v>
      </c>
      <c r="AJ348" s="13">
        <f>IF(AN348=0,M348,0)</f>
        <v>0</v>
      </c>
      <c r="AK348" s="13">
        <f>IF(AN348=15,M348,0)</f>
        <v>0</v>
      </c>
      <c r="AL348" s="13">
        <f>IF(AN348=21,M348,0)</f>
        <v>0</v>
      </c>
      <c r="AN348" s="13">
        <v>21</v>
      </c>
      <c r="AO348" s="13">
        <f>J348*0</f>
        <v>0</v>
      </c>
      <c r="AP348" s="13">
        <f>J348*(1-0)</f>
        <v>0</v>
      </c>
      <c r="AQ348" s="32" t="s">
        <v>654</v>
      </c>
      <c r="AV348" s="13">
        <f>AW348+AX348</f>
        <v>0</v>
      </c>
      <c r="AW348" s="13">
        <f>I348*AO348</f>
        <v>0</v>
      </c>
      <c r="AX348" s="13">
        <f>I348*AP348</f>
        <v>0</v>
      </c>
      <c r="AY348" s="32" t="s">
        <v>1206</v>
      </c>
      <c r="AZ348" s="32" t="s">
        <v>1213</v>
      </c>
      <c r="BA348" s="21" t="s">
        <v>980</v>
      </c>
      <c r="BC348" s="13">
        <f>AW348+AX348</f>
        <v>0</v>
      </c>
      <c r="BD348" s="13">
        <f>J348/(100-BE348)*100</f>
        <v>0</v>
      </c>
      <c r="BE348" s="13">
        <v>0</v>
      </c>
      <c r="BF348" s="13">
        <f>348</f>
        <v>348</v>
      </c>
      <c r="BH348" s="13">
        <f>I348*AO348</f>
        <v>0</v>
      </c>
      <c r="BI348" s="13">
        <f>I348*AP348</f>
        <v>0</v>
      </c>
      <c r="BJ348" s="13">
        <f>I348*J348</f>
        <v>0</v>
      </c>
      <c r="BK348" s="13"/>
      <c r="BL348" s="13">
        <v>91</v>
      </c>
    </row>
    <row r="349" spans="1:15" ht="15" customHeight="1">
      <c r="A349" s="30" t="s">
        <v>862</v>
      </c>
      <c r="B349" s="18" t="s">
        <v>1242</v>
      </c>
      <c r="C349" s="18" t="s">
        <v>862</v>
      </c>
      <c r="D349" s="73" t="s">
        <v>1103</v>
      </c>
      <c r="E349" s="73"/>
      <c r="F349" s="73"/>
      <c r="G349" s="73"/>
      <c r="H349" s="15" t="s">
        <v>1148</v>
      </c>
      <c r="I349" s="15" t="s">
        <v>1148</v>
      </c>
      <c r="J349" s="15" t="s">
        <v>1148</v>
      </c>
      <c r="K349" s="56">
        <f>K350+K363+K365+K368+K371+K374+K377+K380+K383+K385+K388+K390+K399+K406+K426+K428</f>
        <v>0</v>
      </c>
      <c r="L349" s="56">
        <f>L350+L363+L365+L368+L371+L374+L377+L380+L383+L385+L388+L390+L399+L406+L426+L428</f>
        <v>0</v>
      </c>
      <c r="M349" s="56">
        <f>M350+M363+M365+M368+M371+M374+M377+M380+M383+M385+M388+M390+M399+M406+M426+M428</f>
        <v>0</v>
      </c>
      <c r="N349" s="21" t="s">
        <v>862</v>
      </c>
      <c r="O349" s="47" t="s">
        <v>862</v>
      </c>
    </row>
    <row r="350" spans="1:47" ht="15" customHeight="1">
      <c r="A350" s="30" t="s">
        <v>862</v>
      </c>
      <c r="B350" s="18" t="s">
        <v>1242</v>
      </c>
      <c r="C350" s="18" t="s">
        <v>1031</v>
      </c>
      <c r="D350" s="73" t="s">
        <v>675</v>
      </c>
      <c r="E350" s="73"/>
      <c r="F350" s="73"/>
      <c r="G350" s="73"/>
      <c r="H350" s="15" t="s">
        <v>1148</v>
      </c>
      <c r="I350" s="15" t="s">
        <v>1148</v>
      </c>
      <c r="J350" s="15" t="s">
        <v>1148</v>
      </c>
      <c r="K350" s="56">
        <f>SUM(K351:K362)</f>
        <v>0</v>
      </c>
      <c r="L350" s="56">
        <f>SUM(L351:L362)</f>
        <v>0</v>
      </c>
      <c r="M350" s="56">
        <f>SUM(M351:M362)</f>
        <v>0</v>
      </c>
      <c r="N350" s="21" t="s">
        <v>862</v>
      </c>
      <c r="O350" s="47" t="s">
        <v>862</v>
      </c>
      <c r="AI350" s="21" t="s">
        <v>1242</v>
      </c>
      <c r="AS350" s="56">
        <f>SUM(AJ351:AJ362)</f>
        <v>0</v>
      </c>
      <c r="AT350" s="56">
        <f>SUM(AK351:AK362)</f>
        <v>0</v>
      </c>
      <c r="AU350" s="56">
        <f>SUM(AL351:AL362)</f>
        <v>0</v>
      </c>
    </row>
    <row r="351" spans="1:64" ht="15" customHeight="1">
      <c r="A351" s="11" t="s">
        <v>1199</v>
      </c>
      <c r="B351" s="48" t="s">
        <v>1242</v>
      </c>
      <c r="C351" s="48" t="s">
        <v>581</v>
      </c>
      <c r="D351" s="61" t="s">
        <v>754</v>
      </c>
      <c r="E351" s="61"/>
      <c r="F351" s="61"/>
      <c r="G351" s="61"/>
      <c r="H351" s="48" t="s">
        <v>530</v>
      </c>
      <c r="I351" s="13">
        <v>25</v>
      </c>
      <c r="J351" s="13">
        <v>0</v>
      </c>
      <c r="K351" s="13">
        <f aca="true" t="shared" si="230" ref="K351:K362">I351*AO351</f>
        <v>0</v>
      </c>
      <c r="L351" s="13">
        <f aca="true" t="shared" si="231" ref="L351:L362">I351*AP351</f>
        <v>0</v>
      </c>
      <c r="M351" s="13">
        <f aca="true" t="shared" si="232" ref="M351:M362">I351*J351</f>
        <v>0</v>
      </c>
      <c r="N351" s="13">
        <v>0</v>
      </c>
      <c r="O351" s="10" t="s">
        <v>851</v>
      </c>
      <c r="Z351" s="13">
        <f aca="true" t="shared" si="233" ref="Z351:Z362">IF(AQ351="5",BJ351,0)</f>
        <v>0</v>
      </c>
      <c r="AB351" s="13">
        <f aca="true" t="shared" si="234" ref="AB351:AB362">IF(AQ351="1",BH351,0)</f>
        <v>0</v>
      </c>
      <c r="AC351" s="13">
        <f aca="true" t="shared" si="235" ref="AC351:AC362">IF(AQ351="1",BI351,0)</f>
        <v>0</v>
      </c>
      <c r="AD351" s="13">
        <f aca="true" t="shared" si="236" ref="AD351:AD362">IF(AQ351="7",BH351,0)</f>
        <v>0</v>
      </c>
      <c r="AE351" s="13">
        <f aca="true" t="shared" si="237" ref="AE351:AE362">IF(AQ351="7",BI351,0)</f>
        <v>0</v>
      </c>
      <c r="AF351" s="13">
        <f aca="true" t="shared" si="238" ref="AF351:AF362">IF(AQ351="2",BH351,0)</f>
        <v>0</v>
      </c>
      <c r="AG351" s="13">
        <f aca="true" t="shared" si="239" ref="AG351:AG362">IF(AQ351="2",BI351,0)</f>
        <v>0</v>
      </c>
      <c r="AH351" s="13">
        <f aca="true" t="shared" si="240" ref="AH351:AH362">IF(AQ351="0",BJ351,0)</f>
        <v>0</v>
      </c>
      <c r="AI351" s="21" t="s">
        <v>1242</v>
      </c>
      <c r="AJ351" s="13">
        <f aca="true" t="shared" si="241" ref="AJ351:AJ362">IF(AN351=0,M351,0)</f>
        <v>0</v>
      </c>
      <c r="AK351" s="13">
        <f aca="true" t="shared" si="242" ref="AK351:AK362">IF(AN351=15,M351,0)</f>
        <v>0</v>
      </c>
      <c r="AL351" s="13">
        <f aca="true" t="shared" si="243" ref="AL351:AL362">IF(AN351=21,M351,0)</f>
        <v>0</v>
      </c>
      <c r="AN351" s="13">
        <v>21</v>
      </c>
      <c r="AO351" s="13">
        <f>J351*0</f>
        <v>0</v>
      </c>
      <c r="AP351" s="13">
        <f>J351*(1-0)</f>
        <v>0</v>
      </c>
      <c r="AQ351" s="32" t="s">
        <v>1231</v>
      </c>
      <c r="AV351" s="13">
        <f aca="true" t="shared" si="244" ref="AV351:AV362">AW351+AX351</f>
        <v>0</v>
      </c>
      <c r="AW351" s="13">
        <f aca="true" t="shared" si="245" ref="AW351:AW362">I351*AO351</f>
        <v>0</v>
      </c>
      <c r="AX351" s="13">
        <f aca="true" t="shared" si="246" ref="AX351:AX362">I351*AP351</f>
        <v>0</v>
      </c>
      <c r="AY351" s="32" t="s">
        <v>133</v>
      </c>
      <c r="AZ351" s="32" t="s">
        <v>604</v>
      </c>
      <c r="BA351" s="21" t="s">
        <v>129</v>
      </c>
      <c r="BC351" s="13">
        <f aca="true" t="shared" si="247" ref="BC351:BC362">AW351+AX351</f>
        <v>0</v>
      </c>
      <c r="BD351" s="13">
        <f aca="true" t="shared" si="248" ref="BD351:BD362">J351/(100-BE351)*100</f>
        <v>0</v>
      </c>
      <c r="BE351" s="13">
        <v>0</v>
      </c>
      <c r="BF351" s="13">
        <f>351</f>
        <v>351</v>
      </c>
      <c r="BH351" s="13">
        <f aca="true" t="shared" si="249" ref="BH351:BH362">I351*AO351</f>
        <v>0</v>
      </c>
      <c r="BI351" s="13">
        <f aca="true" t="shared" si="250" ref="BI351:BI362">I351*AP351</f>
        <v>0</v>
      </c>
      <c r="BJ351" s="13">
        <f aca="true" t="shared" si="251" ref="BJ351:BJ362">I351*J351</f>
        <v>0</v>
      </c>
      <c r="BK351" s="13"/>
      <c r="BL351" s="13">
        <v>11</v>
      </c>
    </row>
    <row r="352" spans="1:64" ht="15" customHeight="1">
      <c r="A352" s="11" t="s">
        <v>991</v>
      </c>
      <c r="B352" s="48" t="s">
        <v>1242</v>
      </c>
      <c r="C352" s="48" t="s">
        <v>131</v>
      </c>
      <c r="D352" s="61" t="s">
        <v>951</v>
      </c>
      <c r="E352" s="61"/>
      <c r="F352" s="61"/>
      <c r="G352" s="61"/>
      <c r="H352" s="48" t="s">
        <v>1018</v>
      </c>
      <c r="I352" s="13">
        <v>10</v>
      </c>
      <c r="J352" s="13">
        <v>0</v>
      </c>
      <c r="K352" s="13">
        <f t="shared" si="230"/>
        <v>0</v>
      </c>
      <c r="L352" s="13">
        <f t="shared" si="231"/>
        <v>0</v>
      </c>
      <c r="M352" s="13">
        <f t="shared" si="232"/>
        <v>0</v>
      </c>
      <c r="N352" s="13">
        <v>0.00757</v>
      </c>
      <c r="O352" s="10" t="s">
        <v>851</v>
      </c>
      <c r="Z352" s="13">
        <f t="shared" si="233"/>
        <v>0</v>
      </c>
      <c r="AB352" s="13">
        <f t="shared" si="234"/>
        <v>0</v>
      </c>
      <c r="AC352" s="13">
        <f t="shared" si="235"/>
        <v>0</v>
      </c>
      <c r="AD352" s="13">
        <f t="shared" si="236"/>
        <v>0</v>
      </c>
      <c r="AE352" s="13">
        <f t="shared" si="237"/>
        <v>0</v>
      </c>
      <c r="AF352" s="13">
        <f t="shared" si="238"/>
        <v>0</v>
      </c>
      <c r="AG352" s="13">
        <f t="shared" si="239"/>
        <v>0</v>
      </c>
      <c r="AH352" s="13">
        <f t="shared" si="240"/>
        <v>0</v>
      </c>
      <c r="AI352" s="21" t="s">
        <v>1242</v>
      </c>
      <c r="AJ352" s="13">
        <f t="shared" si="241"/>
        <v>0</v>
      </c>
      <c r="AK352" s="13">
        <f t="shared" si="242"/>
        <v>0</v>
      </c>
      <c r="AL352" s="13">
        <f t="shared" si="243"/>
        <v>0</v>
      </c>
      <c r="AN352" s="13">
        <v>21</v>
      </c>
      <c r="AO352" s="13">
        <f>J352*0.379482761849473</f>
        <v>0</v>
      </c>
      <c r="AP352" s="13">
        <f>J352*(1-0.379482761849473)</f>
        <v>0</v>
      </c>
      <c r="AQ352" s="32" t="s">
        <v>1231</v>
      </c>
      <c r="AV352" s="13">
        <f t="shared" si="244"/>
        <v>0</v>
      </c>
      <c r="AW352" s="13">
        <f t="shared" si="245"/>
        <v>0</v>
      </c>
      <c r="AX352" s="13">
        <f t="shared" si="246"/>
        <v>0</v>
      </c>
      <c r="AY352" s="32" t="s">
        <v>133</v>
      </c>
      <c r="AZ352" s="32" t="s">
        <v>604</v>
      </c>
      <c r="BA352" s="21" t="s">
        <v>129</v>
      </c>
      <c r="BC352" s="13">
        <f t="shared" si="247"/>
        <v>0</v>
      </c>
      <c r="BD352" s="13">
        <f t="shared" si="248"/>
        <v>0</v>
      </c>
      <c r="BE352" s="13">
        <v>0</v>
      </c>
      <c r="BF352" s="13">
        <f>352</f>
        <v>352</v>
      </c>
      <c r="BH352" s="13">
        <f t="shared" si="249"/>
        <v>0</v>
      </c>
      <c r="BI352" s="13">
        <f t="shared" si="250"/>
        <v>0</v>
      </c>
      <c r="BJ352" s="13">
        <f t="shared" si="251"/>
        <v>0</v>
      </c>
      <c r="BK352" s="13"/>
      <c r="BL352" s="13">
        <v>11</v>
      </c>
    </row>
    <row r="353" spans="1:64" ht="15" customHeight="1">
      <c r="A353" s="11" t="s">
        <v>983</v>
      </c>
      <c r="B353" s="48" t="s">
        <v>1242</v>
      </c>
      <c r="C353" s="48" t="s">
        <v>1198</v>
      </c>
      <c r="D353" s="61" t="s">
        <v>431</v>
      </c>
      <c r="E353" s="61"/>
      <c r="F353" s="61"/>
      <c r="G353" s="61"/>
      <c r="H353" s="48" t="s">
        <v>70</v>
      </c>
      <c r="I353" s="13">
        <v>25</v>
      </c>
      <c r="J353" s="13">
        <v>0</v>
      </c>
      <c r="K353" s="13">
        <f t="shared" si="230"/>
        <v>0</v>
      </c>
      <c r="L353" s="13">
        <f t="shared" si="231"/>
        <v>0</v>
      </c>
      <c r="M353" s="13">
        <f t="shared" si="232"/>
        <v>0</v>
      </c>
      <c r="N353" s="13">
        <v>0</v>
      </c>
      <c r="O353" s="10" t="s">
        <v>851</v>
      </c>
      <c r="Z353" s="13">
        <f t="shared" si="233"/>
        <v>0</v>
      </c>
      <c r="AB353" s="13">
        <f t="shared" si="234"/>
        <v>0</v>
      </c>
      <c r="AC353" s="13">
        <f t="shared" si="235"/>
        <v>0</v>
      </c>
      <c r="AD353" s="13">
        <f t="shared" si="236"/>
        <v>0</v>
      </c>
      <c r="AE353" s="13">
        <f t="shared" si="237"/>
        <v>0</v>
      </c>
      <c r="AF353" s="13">
        <f t="shared" si="238"/>
        <v>0</v>
      </c>
      <c r="AG353" s="13">
        <f t="shared" si="239"/>
        <v>0</v>
      </c>
      <c r="AH353" s="13">
        <f t="shared" si="240"/>
        <v>0</v>
      </c>
      <c r="AI353" s="21" t="s">
        <v>1242</v>
      </c>
      <c r="AJ353" s="13">
        <f t="shared" si="241"/>
        <v>0</v>
      </c>
      <c r="AK353" s="13">
        <f t="shared" si="242"/>
        <v>0</v>
      </c>
      <c r="AL353" s="13">
        <f t="shared" si="243"/>
        <v>0</v>
      </c>
      <c r="AN353" s="13">
        <v>21</v>
      </c>
      <c r="AO353" s="13">
        <f>J353*0</f>
        <v>0</v>
      </c>
      <c r="AP353" s="13">
        <f>J353*(1-0)</f>
        <v>0</v>
      </c>
      <c r="AQ353" s="32" t="s">
        <v>1231</v>
      </c>
      <c r="AV353" s="13">
        <f t="shared" si="244"/>
        <v>0</v>
      </c>
      <c r="AW353" s="13">
        <f t="shared" si="245"/>
        <v>0</v>
      </c>
      <c r="AX353" s="13">
        <f t="shared" si="246"/>
        <v>0</v>
      </c>
      <c r="AY353" s="32" t="s">
        <v>133</v>
      </c>
      <c r="AZ353" s="32" t="s">
        <v>604</v>
      </c>
      <c r="BA353" s="21" t="s">
        <v>129</v>
      </c>
      <c r="BC353" s="13">
        <f t="shared" si="247"/>
        <v>0</v>
      </c>
      <c r="BD353" s="13">
        <f t="shared" si="248"/>
        <v>0</v>
      </c>
      <c r="BE353" s="13">
        <v>0</v>
      </c>
      <c r="BF353" s="13">
        <f>353</f>
        <v>353</v>
      </c>
      <c r="BH353" s="13">
        <f t="shared" si="249"/>
        <v>0</v>
      </c>
      <c r="BI353" s="13">
        <f t="shared" si="250"/>
        <v>0</v>
      </c>
      <c r="BJ353" s="13">
        <f t="shared" si="251"/>
        <v>0</v>
      </c>
      <c r="BK353" s="13"/>
      <c r="BL353" s="13">
        <v>11</v>
      </c>
    </row>
    <row r="354" spans="1:64" ht="15" customHeight="1">
      <c r="A354" s="11" t="s">
        <v>179</v>
      </c>
      <c r="B354" s="48" t="s">
        <v>1242</v>
      </c>
      <c r="C354" s="48" t="s">
        <v>907</v>
      </c>
      <c r="D354" s="61" t="s">
        <v>778</v>
      </c>
      <c r="E354" s="61"/>
      <c r="F354" s="61"/>
      <c r="G354" s="61"/>
      <c r="H354" s="48" t="s">
        <v>1018</v>
      </c>
      <c r="I354" s="13">
        <v>13</v>
      </c>
      <c r="J354" s="13">
        <v>0</v>
      </c>
      <c r="K354" s="13">
        <f t="shared" si="230"/>
        <v>0</v>
      </c>
      <c r="L354" s="13">
        <f t="shared" si="231"/>
        <v>0</v>
      </c>
      <c r="M354" s="13">
        <f t="shared" si="232"/>
        <v>0</v>
      </c>
      <c r="N354" s="13">
        <v>0.02478</v>
      </c>
      <c r="O354" s="10" t="s">
        <v>851</v>
      </c>
      <c r="Z354" s="13">
        <f t="shared" si="233"/>
        <v>0</v>
      </c>
      <c r="AB354" s="13">
        <f t="shared" si="234"/>
        <v>0</v>
      </c>
      <c r="AC354" s="13">
        <f t="shared" si="235"/>
        <v>0</v>
      </c>
      <c r="AD354" s="13">
        <f t="shared" si="236"/>
        <v>0</v>
      </c>
      <c r="AE354" s="13">
        <f t="shared" si="237"/>
        <v>0</v>
      </c>
      <c r="AF354" s="13">
        <f t="shared" si="238"/>
        <v>0</v>
      </c>
      <c r="AG354" s="13">
        <f t="shared" si="239"/>
        <v>0</v>
      </c>
      <c r="AH354" s="13">
        <f t="shared" si="240"/>
        <v>0</v>
      </c>
      <c r="AI354" s="21" t="s">
        <v>1242</v>
      </c>
      <c r="AJ354" s="13">
        <f t="shared" si="241"/>
        <v>0</v>
      </c>
      <c r="AK354" s="13">
        <f t="shared" si="242"/>
        <v>0</v>
      </c>
      <c r="AL354" s="13">
        <f t="shared" si="243"/>
        <v>0</v>
      </c>
      <c r="AN354" s="13">
        <v>21</v>
      </c>
      <c r="AO354" s="13">
        <f>J354*0.352956636005256</f>
        <v>0</v>
      </c>
      <c r="AP354" s="13">
        <f>J354*(1-0.352956636005256)</f>
        <v>0</v>
      </c>
      <c r="AQ354" s="32" t="s">
        <v>1231</v>
      </c>
      <c r="AV354" s="13">
        <f t="shared" si="244"/>
        <v>0</v>
      </c>
      <c r="AW354" s="13">
        <f t="shared" si="245"/>
        <v>0</v>
      </c>
      <c r="AX354" s="13">
        <f t="shared" si="246"/>
        <v>0</v>
      </c>
      <c r="AY354" s="32" t="s">
        <v>133</v>
      </c>
      <c r="AZ354" s="32" t="s">
        <v>604</v>
      </c>
      <c r="BA354" s="21" t="s">
        <v>129</v>
      </c>
      <c r="BC354" s="13">
        <f t="shared" si="247"/>
        <v>0</v>
      </c>
      <c r="BD354" s="13">
        <f t="shared" si="248"/>
        <v>0</v>
      </c>
      <c r="BE354" s="13">
        <v>0</v>
      </c>
      <c r="BF354" s="13">
        <f>354</f>
        <v>354</v>
      </c>
      <c r="BH354" s="13">
        <f t="shared" si="249"/>
        <v>0</v>
      </c>
      <c r="BI354" s="13">
        <f t="shared" si="250"/>
        <v>0</v>
      </c>
      <c r="BJ354" s="13">
        <f t="shared" si="251"/>
        <v>0</v>
      </c>
      <c r="BK354" s="13"/>
      <c r="BL354" s="13">
        <v>11</v>
      </c>
    </row>
    <row r="355" spans="1:64" ht="15" customHeight="1">
      <c r="A355" s="11" t="s">
        <v>518</v>
      </c>
      <c r="B355" s="48" t="s">
        <v>1242</v>
      </c>
      <c r="C355" s="48" t="s">
        <v>1038</v>
      </c>
      <c r="D355" s="61" t="s">
        <v>1167</v>
      </c>
      <c r="E355" s="61"/>
      <c r="F355" s="61"/>
      <c r="G355" s="61"/>
      <c r="H355" s="48" t="s">
        <v>1018</v>
      </c>
      <c r="I355" s="13">
        <v>20</v>
      </c>
      <c r="J355" s="13">
        <v>0</v>
      </c>
      <c r="K355" s="13">
        <f t="shared" si="230"/>
        <v>0</v>
      </c>
      <c r="L355" s="13">
        <f t="shared" si="231"/>
        <v>0</v>
      </c>
      <c r="M355" s="13">
        <f t="shared" si="232"/>
        <v>0</v>
      </c>
      <c r="N355" s="13">
        <v>0.00869</v>
      </c>
      <c r="O355" s="10" t="s">
        <v>851</v>
      </c>
      <c r="Z355" s="13">
        <f t="shared" si="233"/>
        <v>0</v>
      </c>
      <c r="AB355" s="13">
        <f t="shared" si="234"/>
        <v>0</v>
      </c>
      <c r="AC355" s="13">
        <f t="shared" si="235"/>
        <v>0</v>
      </c>
      <c r="AD355" s="13">
        <f t="shared" si="236"/>
        <v>0</v>
      </c>
      <c r="AE355" s="13">
        <f t="shared" si="237"/>
        <v>0</v>
      </c>
      <c r="AF355" s="13">
        <f t="shared" si="238"/>
        <v>0</v>
      </c>
      <c r="AG355" s="13">
        <f t="shared" si="239"/>
        <v>0</v>
      </c>
      <c r="AH355" s="13">
        <f t="shared" si="240"/>
        <v>0</v>
      </c>
      <c r="AI355" s="21" t="s">
        <v>1242</v>
      </c>
      <c r="AJ355" s="13">
        <f t="shared" si="241"/>
        <v>0</v>
      </c>
      <c r="AK355" s="13">
        <f t="shared" si="242"/>
        <v>0</v>
      </c>
      <c r="AL355" s="13">
        <f t="shared" si="243"/>
        <v>0</v>
      </c>
      <c r="AN355" s="13">
        <v>21</v>
      </c>
      <c r="AO355" s="13">
        <f>J355*0.282187147688839</f>
        <v>0</v>
      </c>
      <c r="AP355" s="13">
        <f>J355*(1-0.282187147688839)</f>
        <v>0</v>
      </c>
      <c r="AQ355" s="32" t="s">
        <v>1231</v>
      </c>
      <c r="AV355" s="13">
        <f t="shared" si="244"/>
        <v>0</v>
      </c>
      <c r="AW355" s="13">
        <f t="shared" si="245"/>
        <v>0</v>
      </c>
      <c r="AX355" s="13">
        <f t="shared" si="246"/>
        <v>0</v>
      </c>
      <c r="AY355" s="32" t="s">
        <v>133</v>
      </c>
      <c r="AZ355" s="32" t="s">
        <v>604</v>
      </c>
      <c r="BA355" s="21" t="s">
        <v>129</v>
      </c>
      <c r="BC355" s="13">
        <f t="shared" si="247"/>
        <v>0</v>
      </c>
      <c r="BD355" s="13">
        <f t="shared" si="248"/>
        <v>0</v>
      </c>
      <c r="BE355" s="13">
        <v>0</v>
      </c>
      <c r="BF355" s="13">
        <f>355</f>
        <v>355</v>
      </c>
      <c r="BH355" s="13">
        <f t="shared" si="249"/>
        <v>0</v>
      </c>
      <c r="BI355" s="13">
        <f t="shared" si="250"/>
        <v>0</v>
      </c>
      <c r="BJ355" s="13">
        <f t="shared" si="251"/>
        <v>0</v>
      </c>
      <c r="BK355" s="13"/>
      <c r="BL355" s="13">
        <v>11</v>
      </c>
    </row>
    <row r="356" spans="1:64" ht="15" customHeight="1">
      <c r="A356" s="11" t="s">
        <v>258</v>
      </c>
      <c r="B356" s="48" t="s">
        <v>1242</v>
      </c>
      <c r="C356" s="48" t="s">
        <v>1238</v>
      </c>
      <c r="D356" s="61" t="s">
        <v>1058</v>
      </c>
      <c r="E356" s="61"/>
      <c r="F356" s="61"/>
      <c r="G356" s="61"/>
      <c r="H356" s="48" t="s">
        <v>1018</v>
      </c>
      <c r="I356" s="13">
        <v>125</v>
      </c>
      <c r="J356" s="13">
        <v>0</v>
      </c>
      <c r="K356" s="13">
        <f t="shared" si="230"/>
        <v>0</v>
      </c>
      <c r="L356" s="13">
        <f t="shared" si="231"/>
        <v>0</v>
      </c>
      <c r="M356" s="13">
        <f t="shared" si="232"/>
        <v>0</v>
      </c>
      <c r="N356" s="13">
        <v>0.01271</v>
      </c>
      <c r="O356" s="10" t="s">
        <v>851</v>
      </c>
      <c r="Z356" s="13">
        <f t="shared" si="233"/>
        <v>0</v>
      </c>
      <c r="AB356" s="13">
        <f t="shared" si="234"/>
        <v>0</v>
      </c>
      <c r="AC356" s="13">
        <f t="shared" si="235"/>
        <v>0</v>
      </c>
      <c r="AD356" s="13">
        <f t="shared" si="236"/>
        <v>0</v>
      </c>
      <c r="AE356" s="13">
        <f t="shared" si="237"/>
        <v>0</v>
      </c>
      <c r="AF356" s="13">
        <f t="shared" si="238"/>
        <v>0</v>
      </c>
      <c r="AG356" s="13">
        <f t="shared" si="239"/>
        <v>0</v>
      </c>
      <c r="AH356" s="13">
        <f t="shared" si="240"/>
        <v>0</v>
      </c>
      <c r="AI356" s="21" t="s">
        <v>1242</v>
      </c>
      <c r="AJ356" s="13">
        <f t="shared" si="241"/>
        <v>0</v>
      </c>
      <c r="AK356" s="13">
        <f t="shared" si="242"/>
        <v>0</v>
      </c>
      <c r="AL356" s="13">
        <f t="shared" si="243"/>
        <v>0</v>
      </c>
      <c r="AN356" s="13">
        <v>21</v>
      </c>
      <c r="AO356" s="13">
        <f>J356*0.256844997804501</f>
        <v>0</v>
      </c>
      <c r="AP356" s="13">
        <f>J356*(1-0.256844997804501)</f>
        <v>0</v>
      </c>
      <c r="AQ356" s="32" t="s">
        <v>1231</v>
      </c>
      <c r="AV356" s="13">
        <f t="shared" si="244"/>
        <v>0</v>
      </c>
      <c r="AW356" s="13">
        <f t="shared" si="245"/>
        <v>0</v>
      </c>
      <c r="AX356" s="13">
        <f t="shared" si="246"/>
        <v>0</v>
      </c>
      <c r="AY356" s="32" t="s">
        <v>133</v>
      </c>
      <c r="AZ356" s="32" t="s">
        <v>604</v>
      </c>
      <c r="BA356" s="21" t="s">
        <v>129</v>
      </c>
      <c r="BC356" s="13">
        <f t="shared" si="247"/>
        <v>0</v>
      </c>
      <c r="BD356" s="13">
        <f t="shared" si="248"/>
        <v>0</v>
      </c>
      <c r="BE356" s="13">
        <v>0</v>
      </c>
      <c r="BF356" s="13">
        <f>356</f>
        <v>356</v>
      </c>
      <c r="BH356" s="13">
        <f t="shared" si="249"/>
        <v>0</v>
      </c>
      <c r="BI356" s="13">
        <f t="shared" si="250"/>
        <v>0</v>
      </c>
      <c r="BJ356" s="13">
        <f t="shared" si="251"/>
        <v>0</v>
      </c>
      <c r="BK356" s="13"/>
      <c r="BL356" s="13">
        <v>11</v>
      </c>
    </row>
    <row r="357" spans="1:64" ht="15" customHeight="1">
      <c r="A357" s="11" t="s">
        <v>505</v>
      </c>
      <c r="B357" s="48" t="s">
        <v>1242</v>
      </c>
      <c r="C357" s="48" t="s">
        <v>728</v>
      </c>
      <c r="D357" s="61" t="s">
        <v>614</v>
      </c>
      <c r="E357" s="61"/>
      <c r="F357" s="61"/>
      <c r="G357" s="61"/>
      <c r="H357" s="48" t="s">
        <v>1216</v>
      </c>
      <c r="I357" s="13">
        <v>350.19</v>
      </c>
      <c r="J357" s="13">
        <v>0</v>
      </c>
      <c r="K357" s="13">
        <f t="shared" si="230"/>
        <v>0</v>
      </c>
      <c r="L357" s="13">
        <f t="shared" si="231"/>
        <v>0</v>
      </c>
      <c r="M357" s="13">
        <f t="shared" si="232"/>
        <v>0</v>
      </c>
      <c r="N357" s="13">
        <v>0</v>
      </c>
      <c r="O357" s="10" t="s">
        <v>851</v>
      </c>
      <c r="Z357" s="13">
        <f t="shared" si="233"/>
        <v>0</v>
      </c>
      <c r="AB357" s="13">
        <f t="shared" si="234"/>
        <v>0</v>
      </c>
      <c r="AC357" s="13">
        <f t="shared" si="235"/>
        <v>0</v>
      </c>
      <c r="AD357" s="13">
        <f t="shared" si="236"/>
        <v>0</v>
      </c>
      <c r="AE357" s="13">
        <f t="shared" si="237"/>
        <v>0</v>
      </c>
      <c r="AF357" s="13">
        <f t="shared" si="238"/>
        <v>0</v>
      </c>
      <c r="AG357" s="13">
        <f t="shared" si="239"/>
        <v>0</v>
      </c>
      <c r="AH357" s="13">
        <f t="shared" si="240"/>
        <v>0</v>
      </c>
      <c r="AI357" s="21" t="s">
        <v>1242</v>
      </c>
      <c r="AJ357" s="13">
        <f t="shared" si="241"/>
        <v>0</v>
      </c>
      <c r="AK357" s="13">
        <f t="shared" si="242"/>
        <v>0</v>
      </c>
      <c r="AL357" s="13">
        <f t="shared" si="243"/>
        <v>0</v>
      </c>
      <c r="AN357" s="13">
        <v>21</v>
      </c>
      <c r="AO357" s="13">
        <f aca="true" t="shared" si="252" ref="AO357:AO362">J357*0</f>
        <v>0</v>
      </c>
      <c r="AP357" s="13">
        <f aca="true" t="shared" si="253" ref="AP357:AP362">J357*(1-0)</f>
        <v>0</v>
      </c>
      <c r="AQ357" s="32" t="s">
        <v>1231</v>
      </c>
      <c r="AV357" s="13">
        <f t="shared" si="244"/>
        <v>0</v>
      </c>
      <c r="AW357" s="13">
        <f t="shared" si="245"/>
        <v>0</v>
      </c>
      <c r="AX357" s="13">
        <f t="shared" si="246"/>
        <v>0</v>
      </c>
      <c r="AY357" s="32" t="s">
        <v>133</v>
      </c>
      <c r="AZ357" s="32" t="s">
        <v>604</v>
      </c>
      <c r="BA357" s="21" t="s">
        <v>129</v>
      </c>
      <c r="BC357" s="13">
        <f t="shared" si="247"/>
        <v>0</v>
      </c>
      <c r="BD357" s="13">
        <f t="shared" si="248"/>
        <v>0</v>
      </c>
      <c r="BE357" s="13">
        <v>0</v>
      </c>
      <c r="BF357" s="13">
        <f>357</f>
        <v>357</v>
      </c>
      <c r="BH357" s="13">
        <f t="shared" si="249"/>
        <v>0</v>
      </c>
      <c r="BI357" s="13">
        <f t="shared" si="250"/>
        <v>0</v>
      </c>
      <c r="BJ357" s="13">
        <f t="shared" si="251"/>
        <v>0</v>
      </c>
      <c r="BK357" s="13"/>
      <c r="BL357" s="13">
        <v>11</v>
      </c>
    </row>
    <row r="358" spans="1:64" ht="15" customHeight="1">
      <c r="A358" s="11" t="s">
        <v>26</v>
      </c>
      <c r="B358" s="48" t="s">
        <v>1242</v>
      </c>
      <c r="C358" s="48" t="s">
        <v>1389</v>
      </c>
      <c r="D358" s="61" t="s">
        <v>708</v>
      </c>
      <c r="E358" s="61"/>
      <c r="F358" s="61"/>
      <c r="G358" s="61"/>
      <c r="H358" s="48" t="s">
        <v>1216</v>
      </c>
      <c r="I358" s="13">
        <v>350.19</v>
      </c>
      <c r="J358" s="13">
        <v>0</v>
      </c>
      <c r="K358" s="13">
        <f t="shared" si="230"/>
        <v>0</v>
      </c>
      <c r="L358" s="13">
        <f t="shared" si="231"/>
        <v>0</v>
      </c>
      <c r="M358" s="13">
        <f t="shared" si="232"/>
        <v>0</v>
      </c>
      <c r="N358" s="13">
        <v>0</v>
      </c>
      <c r="O358" s="10" t="s">
        <v>851</v>
      </c>
      <c r="Z358" s="13">
        <f t="shared" si="233"/>
        <v>0</v>
      </c>
      <c r="AB358" s="13">
        <f t="shared" si="234"/>
        <v>0</v>
      </c>
      <c r="AC358" s="13">
        <f t="shared" si="235"/>
        <v>0</v>
      </c>
      <c r="AD358" s="13">
        <f t="shared" si="236"/>
        <v>0</v>
      </c>
      <c r="AE358" s="13">
        <f t="shared" si="237"/>
        <v>0</v>
      </c>
      <c r="AF358" s="13">
        <f t="shared" si="238"/>
        <v>0</v>
      </c>
      <c r="AG358" s="13">
        <f t="shared" si="239"/>
        <v>0</v>
      </c>
      <c r="AH358" s="13">
        <f t="shared" si="240"/>
        <v>0</v>
      </c>
      <c r="AI358" s="21" t="s">
        <v>1242</v>
      </c>
      <c r="AJ358" s="13">
        <f t="shared" si="241"/>
        <v>0</v>
      </c>
      <c r="AK358" s="13">
        <f t="shared" si="242"/>
        <v>0</v>
      </c>
      <c r="AL358" s="13">
        <f t="shared" si="243"/>
        <v>0</v>
      </c>
      <c r="AN358" s="13">
        <v>21</v>
      </c>
      <c r="AO358" s="13">
        <f t="shared" si="252"/>
        <v>0</v>
      </c>
      <c r="AP358" s="13">
        <f t="shared" si="253"/>
        <v>0</v>
      </c>
      <c r="AQ358" s="32" t="s">
        <v>1231</v>
      </c>
      <c r="AV358" s="13">
        <f t="shared" si="244"/>
        <v>0</v>
      </c>
      <c r="AW358" s="13">
        <f t="shared" si="245"/>
        <v>0</v>
      </c>
      <c r="AX358" s="13">
        <f t="shared" si="246"/>
        <v>0</v>
      </c>
      <c r="AY358" s="32" t="s">
        <v>133</v>
      </c>
      <c r="AZ358" s="32" t="s">
        <v>604</v>
      </c>
      <c r="BA358" s="21" t="s">
        <v>129</v>
      </c>
      <c r="BC358" s="13">
        <f t="shared" si="247"/>
        <v>0</v>
      </c>
      <c r="BD358" s="13">
        <f t="shared" si="248"/>
        <v>0</v>
      </c>
      <c r="BE358" s="13">
        <v>0</v>
      </c>
      <c r="BF358" s="13">
        <f>358</f>
        <v>358</v>
      </c>
      <c r="BH358" s="13">
        <f t="shared" si="249"/>
        <v>0</v>
      </c>
      <c r="BI358" s="13">
        <f t="shared" si="250"/>
        <v>0</v>
      </c>
      <c r="BJ358" s="13">
        <f t="shared" si="251"/>
        <v>0</v>
      </c>
      <c r="BK358" s="13"/>
      <c r="BL358" s="13">
        <v>11</v>
      </c>
    </row>
    <row r="359" spans="1:64" ht="15" customHeight="1">
      <c r="A359" s="11" t="s">
        <v>1060</v>
      </c>
      <c r="B359" s="48" t="s">
        <v>1242</v>
      </c>
      <c r="C359" s="48" t="s">
        <v>279</v>
      </c>
      <c r="D359" s="61" t="s">
        <v>404</v>
      </c>
      <c r="E359" s="61"/>
      <c r="F359" s="61"/>
      <c r="G359" s="61"/>
      <c r="H359" s="48" t="s">
        <v>553</v>
      </c>
      <c r="I359" s="13">
        <v>77.0418</v>
      </c>
      <c r="J359" s="13">
        <v>0</v>
      </c>
      <c r="K359" s="13">
        <f t="shared" si="230"/>
        <v>0</v>
      </c>
      <c r="L359" s="13">
        <f t="shared" si="231"/>
        <v>0</v>
      </c>
      <c r="M359" s="13">
        <f t="shared" si="232"/>
        <v>0</v>
      </c>
      <c r="N359" s="13">
        <v>0</v>
      </c>
      <c r="O359" s="10" t="s">
        <v>851</v>
      </c>
      <c r="Z359" s="13">
        <f t="shared" si="233"/>
        <v>0</v>
      </c>
      <c r="AB359" s="13">
        <f t="shared" si="234"/>
        <v>0</v>
      </c>
      <c r="AC359" s="13">
        <f t="shared" si="235"/>
        <v>0</v>
      </c>
      <c r="AD359" s="13">
        <f t="shared" si="236"/>
        <v>0</v>
      </c>
      <c r="AE359" s="13">
        <f t="shared" si="237"/>
        <v>0</v>
      </c>
      <c r="AF359" s="13">
        <f t="shared" si="238"/>
        <v>0</v>
      </c>
      <c r="AG359" s="13">
        <f t="shared" si="239"/>
        <v>0</v>
      </c>
      <c r="AH359" s="13">
        <f t="shared" si="240"/>
        <v>0</v>
      </c>
      <c r="AI359" s="21" t="s">
        <v>1242</v>
      </c>
      <c r="AJ359" s="13">
        <f t="shared" si="241"/>
        <v>0</v>
      </c>
      <c r="AK359" s="13">
        <f t="shared" si="242"/>
        <v>0</v>
      </c>
      <c r="AL359" s="13">
        <f t="shared" si="243"/>
        <v>0</v>
      </c>
      <c r="AN359" s="13">
        <v>21</v>
      </c>
      <c r="AO359" s="13">
        <f t="shared" si="252"/>
        <v>0</v>
      </c>
      <c r="AP359" s="13">
        <f t="shared" si="253"/>
        <v>0</v>
      </c>
      <c r="AQ359" s="32" t="s">
        <v>654</v>
      </c>
      <c r="AV359" s="13">
        <f t="shared" si="244"/>
        <v>0</v>
      </c>
      <c r="AW359" s="13">
        <f t="shared" si="245"/>
        <v>0</v>
      </c>
      <c r="AX359" s="13">
        <f t="shared" si="246"/>
        <v>0</v>
      </c>
      <c r="AY359" s="32" t="s">
        <v>133</v>
      </c>
      <c r="AZ359" s="32" t="s">
        <v>604</v>
      </c>
      <c r="BA359" s="21" t="s">
        <v>129</v>
      </c>
      <c r="BC359" s="13">
        <f t="shared" si="247"/>
        <v>0</v>
      </c>
      <c r="BD359" s="13">
        <f t="shared" si="248"/>
        <v>0</v>
      </c>
      <c r="BE359" s="13">
        <v>0</v>
      </c>
      <c r="BF359" s="13">
        <f>359</f>
        <v>359</v>
      </c>
      <c r="BH359" s="13">
        <f t="shared" si="249"/>
        <v>0</v>
      </c>
      <c r="BI359" s="13">
        <f t="shared" si="250"/>
        <v>0</v>
      </c>
      <c r="BJ359" s="13">
        <f t="shared" si="251"/>
        <v>0</v>
      </c>
      <c r="BK359" s="13"/>
      <c r="BL359" s="13">
        <v>11</v>
      </c>
    </row>
    <row r="360" spans="1:64" ht="15" customHeight="1">
      <c r="A360" s="11" t="s">
        <v>1124</v>
      </c>
      <c r="B360" s="48" t="s">
        <v>1242</v>
      </c>
      <c r="C360" s="48" t="s">
        <v>953</v>
      </c>
      <c r="D360" s="61" t="s">
        <v>644</v>
      </c>
      <c r="E360" s="61"/>
      <c r="F360" s="61"/>
      <c r="G360" s="61"/>
      <c r="H360" s="48" t="s">
        <v>553</v>
      </c>
      <c r="I360" s="13">
        <v>4.7</v>
      </c>
      <c r="J360" s="13">
        <v>0</v>
      </c>
      <c r="K360" s="13">
        <f t="shared" si="230"/>
        <v>0</v>
      </c>
      <c r="L360" s="13">
        <f t="shared" si="231"/>
        <v>0</v>
      </c>
      <c r="M360" s="13">
        <f t="shared" si="232"/>
        <v>0</v>
      </c>
      <c r="N360" s="13">
        <v>0</v>
      </c>
      <c r="O360" s="10" t="s">
        <v>851</v>
      </c>
      <c r="Z360" s="13">
        <f t="shared" si="233"/>
        <v>0</v>
      </c>
      <c r="AB360" s="13">
        <f t="shared" si="234"/>
        <v>0</v>
      </c>
      <c r="AC360" s="13">
        <f t="shared" si="235"/>
        <v>0</v>
      </c>
      <c r="AD360" s="13">
        <f t="shared" si="236"/>
        <v>0</v>
      </c>
      <c r="AE360" s="13">
        <f t="shared" si="237"/>
        <v>0</v>
      </c>
      <c r="AF360" s="13">
        <f t="shared" si="238"/>
        <v>0</v>
      </c>
      <c r="AG360" s="13">
        <f t="shared" si="239"/>
        <v>0</v>
      </c>
      <c r="AH360" s="13">
        <f t="shared" si="240"/>
        <v>0</v>
      </c>
      <c r="AI360" s="21" t="s">
        <v>1242</v>
      </c>
      <c r="AJ360" s="13">
        <f t="shared" si="241"/>
        <v>0</v>
      </c>
      <c r="AK360" s="13">
        <f t="shared" si="242"/>
        <v>0</v>
      </c>
      <c r="AL360" s="13">
        <f t="shared" si="243"/>
        <v>0</v>
      </c>
      <c r="AN360" s="13">
        <v>21</v>
      </c>
      <c r="AO360" s="13">
        <f t="shared" si="252"/>
        <v>0</v>
      </c>
      <c r="AP360" s="13">
        <f t="shared" si="253"/>
        <v>0</v>
      </c>
      <c r="AQ360" s="32" t="s">
        <v>654</v>
      </c>
      <c r="AV360" s="13">
        <f t="shared" si="244"/>
        <v>0</v>
      </c>
      <c r="AW360" s="13">
        <f t="shared" si="245"/>
        <v>0</v>
      </c>
      <c r="AX360" s="13">
        <f t="shared" si="246"/>
        <v>0</v>
      </c>
      <c r="AY360" s="32" t="s">
        <v>133</v>
      </c>
      <c r="AZ360" s="32" t="s">
        <v>604</v>
      </c>
      <c r="BA360" s="21" t="s">
        <v>129</v>
      </c>
      <c r="BC360" s="13">
        <f t="shared" si="247"/>
        <v>0</v>
      </c>
      <c r="BD360" s="13">
        <f t="shared" si="248"/>
        <v>0</v>
      </c>
      <c r="BE360" s="13">
        <v>0</v>
      </c>
      <c r="BF360" s="13">
        <f>360</f>
        <v>360</v>
      </c>
      <c r="BH360" s="13">
        <f t="shared" si="249"/>
        <v>0</v>
      </c>
      <c r="BI360" s="13">
        <f t="shared" si="250"/>
        <v>0</v>
      </c>
      <c r="BJ360" s="13">
        <f t="shared" si="251"/>
        <v>0</v>
      </c>
      <c r="BK360" s="13"/>
      <c r="BL360" s="13">
        <v>11</v>
      </c>
    </row>
    <row r="361" spans="1:64" ht="15" customHeight="1">
      <c r="A361" s="11" t="s">
        <v>975</v>
      </c>
      <c r="B361" s="48" t="s">
        <v>1242</v>
      </c>
      <c r="C361" s="48" t="s">
        <v>0</v>
      </c>
      <c r="D361" s="61" t="s">
        <v>308</v>
      </c>
      <c r="E361" s="61"/>
      <c r="F361" s="61"/>
      <c r="G361" s="61"/>
      <c r="H361" s="48" t="s">
        <v>553</v>
      </c>
      <c r="I361" s="13">
        <v>89.3</v>
      </c>
      <c r="J361" s="13">
        <v>0</v>
      </c>
      <c r="K361" s="13">
        <f t="shared" si="230"/>
        <v>0</v>
      </c>
      <c r="L361" s="13">
        <f t="shared" si="231"/>
        <v>0</v>
      </c>
      <c r="M361" s="13">
        <f t="shared" si="232"/>
        <v>0</v>
      </c>
      <c r="N361" s="13">
        <v>0</v>
      </c>
      <c r="O361" s="10" t="s">
        <v>851</v>
      </c>
      <c r="Z361" s="13">
        <f t="shared" si="233"/>
        <v>0</v>
      </c>
      <c r="AB361" s="13">
        <f t="shared" si="234"/>
        <v>0</v>
      </c>
      <c r="AC361" s="13">
        <f t="shared" si="235"/>
        <v>0</v>
      </c>
      <c r="AD361" s="13">
        <f t="shared" si="236"/>
        <v>0</v>
      </c>
      <c r="AE361" s="13">
        <f t="shared" si="237"/>
        <v>0</v>
      </c>
      <c r="AF361" s="13">
        <f t="shared" si="238"/>
        <v>0</v>
      </c>
      <c r="AG361" s="13">
        <f t="shared" si="239"/>
        <v>0</v>
      </c>
      <c r="AH361" s="13">
        <f t="shared" si="240"/>
        <v>0</v>
      </c>
      <c r="AI361" s="21" t="s">
        <v>1242</v>
      </c>
      <c r="AJ361" s="13">
        <f t="shared" si="241"/>
        <v>0</v>
      </c>
      <c r="AK361" s="13">
        <f t="shared" si="242"/>
        <v>0</v>
      </c>
      <c r="AL361" s="13">
        <f t="shared" si="243"/>
        <v>0</v>
      </c>
      <c r="AN361" s="13">
        <v>21</v>
      </c>
      <c r="AO361" s="13">
        <f t="shared" si="252"/>
        <v>0</v>
      </c>
      <c r="AP361" s="13">
        <f t="shared" si="253"/>
        <v>0</v>
      </c>
      <c r="AQ361" s="32" t="s">
        <v>654</v>
      </c>
      <c r="AV361" s="13">
        <f t="shared" si="244"/>
        <v>0</v>
      </c>
      <c r="AW361" s="13">
        <f t="shared" si="245"/>
        <v>0</v>
      </c>
      <c r="AX361" s="13">
        <f t="shared" si="246"/>
        <v>0</v>
      </c>
      <c r="AY361" s="32" t="s">
        <v>133</v>
      </c>
      <c r="AZ361" s="32" t="s">
        <v>604</v>
      </c>
      <c r="BA361" s="21" t="s">
        <v>129</v>
      </c>
      <c r="BC361" s="13">
        <f t="shared" si="247"/>
        <v>0</v>
      </c>
      <c r="BD361" s="13">
        <f t="shared" si="248"/>
        <v>0</v>
      </c>
      <c r="BE361" s="13">
        <v>0</v>
      </c>
      <c r="BF361" s="13">
        <f>361</f>
        <v>361</v>
      </c>
      <c r="BH361" s="13">
        <f t="shared" si="249"/>
        <v>0</v>
      </c>
      <c r="BI361" s="13">
        <f t="shared" si="250"/>
        <v>0</v>
      </c>
      <c r="BJ361" s="13">
        <f t="shared" si="251"/>
        <v>0</v>
      </c>
      <c r="BK361" s="13"/>
      <c r="BL361" s="13">
        <v>11</v>
      </c>
    </row>
    <row r="362" spans="1:64" ht="15" customHeight="1">
      <c r="A362" s="11" t="s">
        <v>410</v>
      </c>
      <c r="B362" s="48" t="s">
        <v>1242</v>
      </c>
      <c r="C362" s="48" t="s">
        <v>50</v>
      </c>
      <c r="D362" s="61" t="s">
        <v>575</v>
      </c>
      <c r="E362" s="61"/>
      <c r="F362" s="61"/>
      <c r="G362" s="61"/>
      <c r="H362" s="48" t="s">
        <v>553</v>
      </c>
      <c r="I362" s="13">
        <v>4.7</v>
      </c>
      <c r="J362" s="13">
        <v>0</v>
      </c>
      <c r="K362" s="13">
        <f t="shared" si="230"/>
        <v>0</v>
      </c>
      <c r="L362" s="13">
        <f t="shared" si="231"/>
        <v>0</v>
      </c>
      <c r="M362" s="13">
        <f t="shared" si="232"/>
        <v>0</v>
      </c>
      <c r="N362" s="13">
        <v>0</v>
      </c>
      <c r="O362" s="10" t="s">
        <v>851</v>
      </c>
      <c r="Z362" s="13">
        <f t="shared" si="233"/>
        <v>0</v>
      </c>
      <c r="AB362" s="13">
        <f t="shared" si="234"/>
        <v>0</v>
      </c>
      <c r="AC362" s="13">
        <f t="shared" si="235"/>
        <v>0</v>
      </c>
      <c r="AD362" s="13">
        <f t="shared" si="236"/>
        <v>0</v>
      </c>
      <c r="AE362" s="13">
        <f t="shared" si="237"/>
        <v>0</v>
      </c>
      <c r="AF362" s="13">
        <f t="shared" si="238"/>
        <v>0</v>
      </c>
      <c r="AG362" s="13">
        <f t="shared" si="239"/>
        <v>0</v>
      </c>
      <c r="AH362" s="13">
        <f t="shared" si="240"/>
        <v>0</v>
      </c>
      <c r="AI362" s="21" t="s">
        <v>1242</v>
      </c>
      <c r="AJ362" s="13">
        <f t="shared" si="241"/>
        <v>0</v>
      </c>
      <c r="AK362" s="13">
        <f t="shared" si="242"/>
        <v>0</v>
      </c>
      <c r="AL362" s="13">
        <f t="shared" si="243"/>
        <v>0</v>
      </c>
      <c r="AN362" s="13">
        <v>21</v>
      </c>
      <c r="AO362" s="13">
        <f t="shared" si="252"/>
        <v>0</v>
      </c>
      <c r="AP362" s="13">
        <f t="shared" si="253"/>
        <v>0</v>
      </c>
      <c r="AQ362" s="32" t="s">
        <v>654</v>
      </c>
      <c r="AV362" s="13">
        <f t="shared" si="244"/>
        <v>0</v>
      </c>
      <c r="AW362" s="13">
        <f t="shared" si="245"/>
        <v>0</v>
      </c>
      <c r="AX362" s="13">
        <f t="shared" si="246"/>
        <v>0</v>
      </c>
      <c r="AY362" s="32" t="s">
        <v>133</v>
      </c>
      <c r="AZ362" s="32" t="s">
        <v>604</v>
      </c>
      <c r="BA362" s="21" t="s">
        <v>129</v>
      </c>
      <c r="BC362" s="13">
        <f t="shared" si="247"/>
        <v>0</v>
      </c>
      <c r="BD362" s="13">
        <f t="shared" si="248"/>
        <v>0</v>
      </c>
      <c r="BE362" s="13">
        <v>0</v>
      </c>
      <c r="BF362" s="13">
        <f>362</f>
        <v>362</v>
      </c>
      <c r="BH362" s="13">
        <f t="shared" si="249"/>
        <v>0</v>
      </c>
      <c r="BI362" s="13">
        <f t="shared" si="250"/>
        <v>0</v>
      </c>
      <c r="BJ362" s="13">
        <f t="shared" si="251"/>
        <v>0</v>
      </c>
      <c r="BK362" s="13"/>
      <c r="BL362" s="13">
        <v>11</v>
      </c>
    </row>
    <row r="363" spans="1:47" ht="15" customHeight="1">
      <c r="A363" s="30" t="s">
        <v>862</v>
      </c>
      <c r="B363" s="18" t="s">
        <v>1242</v>
      </c>
      <c r="C363" s="18" t="s">
        <v>916</v>
      </c>
      <c r="D363" s="73" t="s">
        <v>301</v>
      </c>
      <c r="E363" s="73"/>
      <c r="F363" s="73"/>
      <c r="G363" s="73"/>
      <c r="H363" s="15" t="s">
        <v>1148</v>
      </c>
      <c r="I363" s="15" t="s">
        <v>1148</v>
      </c>
      <c r="J363" s="15" t="s">
        <v>1148</v>
      </c>
      <c r="K363" s="56">
        <f>SUM(K364:K364)</f>
        <v>0</v>
      </c>
      <c r="L363" s="56">
        <f>SUM(L364:L364)</f>
        <v>0</v>
      </c>
      <c r="M363" s="56">
        <f>SUM(M364:M364)</f>
        <v>0</v>
      </c>
      <c r="N363" s="21" t="s">
        <v>862</v>
      </c>
      <c r="O363" s="47" t="s">
        <v>862</v>
      </c>
      <c r="AI363" s="21" t="s">
        <v>1242</v>
      </c>
      <c r="AS363" s="56">
        <f>SUM(AJ364:AJ364)</f>
        <v>0</v>
      </c>
      <c r="AT363" s="56">
        <f>SUM(AK364:AK364)</f>
        <v>0</v>
      </c>
      <c r="AU363" s="56">
        <f>SUM(AL364:AL364)</f>
        <v>0</v>
      </c>
    </row>
    <row r="364" spans="1:64" ht="15" customHeight="1">
      <c r="A364" s="11" t="s">
        <v>985</v>
      </c>
      <c r="B364" s="48" t="s">
        <v>1242</v>
      </c>
      <c r="C364" s="48" t="s">
        <v>499</v>
      </c>
      <c r="D364" s="61" t="s">
        <v>1212</v>
      </c>
      <c r="E364" s="61"/>
      <c r="F364" s="61"/>
      <c r="G364" s="61"/>
      <c r="H364" s="48" t="s">
        <v>1195</v>
      </c>
      <c r="I364" s="13">
        <v>9</v>
      </c>
      <c r="J364" s="13">
        <v>0</v>
      </c>
      <c r="K364" s="13">
        <f>I364*AO364</f>
        <v>0</v>
      </c>
      <c r="L364" s="13">
        <f>I364*AP364</f>
        <v>0</v>
      </c>
      <c r="M364" s="13">
        <f>I364*J364</f>
        <v>0</v>
      </c>
      <c r="N364" s="13">
        <v>0</v>
      </c>
      <c r="O364" s="10" t="s">
        <v>851</v>
      </c>
      <c r="Z364" s="13">
        <f>IF(AQ364="5",BJ364,0)</f>
        <v>0</v>
      </c>
      <c r="AB364" s="13">
        <f>IF(AQ364="1",BH364,0)</f>
        <v>0</v>
      </c>
      <c r="AC364" s="13">
        <f>IF(AQ364="1",BI364,0)</f>
        <v>0</v>
      </c>
      <c r="AD364" s="13">
        <f>IF(AQ364="7",BH364,0)</f>
        <v>0</v>
      </c>
      <c r="AE364" s="13">
        <f>IF(AQ364="7",BI364,0)</f>
        <v>0</v>
      </c>
      <c r="AF364" s="13">
        <f>IF(AQ364="2",BH364,0)</f>
        <v>0</v>
      </c>
      <c r="AG364" s="13">
        <f>IF(AQ364="2",BI364,0)</f>
        <v>0</v>
      </c>
      <c r="AH364" s="13">
        <f>IF(AQ364="0",BJ364,0)</f>
        <v>0</v>
      </c>
      <c r="AI364" s="21" t="s">
        <v>1242</v>
      </c>
      <c r="AJ364" s="13">
        <f>IF(AN364=0,M364,0)</f>
        <v>0</v>
      </c>
      <c r="AK364" s="13">
        <f>IF(AN364=15,M364,0)</f>
        <v>0</v>
      </c>
      <c r="AL364" s="13">
        <f>IF(AN364=21,M364,0)</f>
        <v>0</v>
      </c>
      <c r="AN364" s="13">
        <v>21</v>
      </c>
      <c r="AO364" s="13">
        <f>J364*0</f>
        <v>0</v>
      </c>
      <c r="AP364" s="13">
        <f>J364*(1-0)</f>
        <v>0</v>
      </c>
      <c r="AQ364" s="32" t="s">
        <v>1231</v>
      </c>
      <c r="AV364" s="13">
        <f>AW364+AX364</f>
        <v>0</v>
      </c>
      <c r="AW364" s="13">
        <f>I364*AO364</f>
        <v>0</v>
      </c>
      <c r="AX364" s="13">
        <f>I364*AP364</f>
        <v>0</v>
      </c>
      <c r="AY364" s="32" t="s">
        <v>616</v>
      </c>
      <c r="AZ364" s="32" t="s">
        <v>604</v>
      </c>
      <c r="BA364" s="21" t="s">
        <v>129</v>
      </c>
      <c r="BC364" s="13">
        <f>AW364+AX364</f>
        <v>0</v>
      </c>
      <c r="BD364" s="13">
        <f>J364/(100-BE364)*100</f>
        <v>0</v>
      </c>
      <c r="BE364" s="13">
        <v>0</v>
      </c>
      <c r="BF364" s="13">
        <f>364</f>
        <v>364</v>
      </c>
      <c r="BH364" s="13">
        <f>I364*AO364</f>
        <v>0</v>
      </c>
      <c r="BI364" s="13">
        <f>I364*AP364</f>
        <v>0</v>
      </c>
      <c r="BJ364" s="13">
        <f>I364*J364</f>
        <v>0</v>
      </c>
      <c r="BK364" s="13"/>
      <c r="BL364" s="13">
        <v>12</v>
      </c>
    </row>
    <row r="365" spans="1:47" ht="15" customHeight="1">
      <c r="A365" s="30" t="s">
        <v>862</v>
      </c>
      <c r="B365" s="18" t="s">
        <v>1242</v>
      </c>
      <c r="C365" s="18" t="s">
        <v>356</v>
      </c>
      <c r="D365" s="73" t="s">
        <v>11</v>
      </c>
      <c r="E365" s="73"/>
      <c r="F365" s="73"/>
      <c r="G365" s="73"/>
      <c r="H365" s="15" t="s">
        <v>1148</v>
      </c>
      <c r="I365" s="15" t="s">
        <v>1148</v>
      </c>
      <c r="J365" s="15" t="s">
        <v>1148</v>
      </c>
      <c r="K365" s="56">
        <f>SUM(K366:K367)</f>
        <v>0</v>
      </c>
      <c r="L365" s="56">
        <f>SUM(L366:L367)</f>
        <v>0</v>
      </c>
      <c r="M365" s="56">
        <f>SUM(M366:M367)</f>
        <v>0</v>
      </c>
      <c r="N365" s="21" t="s">
        <v>862</v>
      </c>
      <c r="O365" s="47" t="s">
        <v>862</v>
      </c>
      <c r="AI365" s="21" t="s">
        <v>1242</v>
      </c>
      <c r="AS365" s="56">
        <f>SUM(AJ366:AJ367)</f>
        <v>0</v>
      </c>
      <c r="AT365" s="56">
        <f>SUM(AK366:AK367)</f>
        <v>0</v>
      </c>
      <c r="AU365" s="56">
        <f>SUM(AL366:AL367)</f>
        <v>0</v>
      </c>
    </row>
    <row r="366" spans="1:64" ht="15" customHeight="1">
      <c r="A366" s="11" t="s">
        <v>814</v>
      </c>
      <c r="B366" s="48" t="s">
        <v>1242</v>
      </c>
      <c r="C366" s="48" t="s">
        <v>1101</v>
      </c>
      <c r="D366" s="61" t="s">
        <v>168</v>
      </c>
      <c r="E366" s="61"/>
      <c r="F366" s="61"/>
      <c r="G366" s="61"/>
      <c r="H366" s="48" t="s">
        <v>1195</v>
      </c>
      <c r="I366" s="13">
        <v>572.04</v>
      </c>
      <c r="J366" s="13">
        <v>0</v>
      </c>
      <c r="K366" s="13">
        <f>I366*AO366</f>
        <v>0</v>
      </c>
      <c r="L366" s="13">
        <f>I366*AP366</f>
        <v>0</v>
      </c>
      <c r="M366" s="13">
        <f>I366*J366</f>
        <v>0</v>
      </c>
      <c r="N366" s="13">
        <v>0</v>
      </c>
      <c r="O366" s="10" t="s">
        <v>851</v>
      </c>
      <c r="Z366" s="13">
        <f>IF(AQ366="5",BJ366,0)</f>
        <v>0</v>
      </c>
      <c r="AB366" s="13">
        <f>IF(AQ366="1",BH366,0)</f>
        <v>0</v>
      </c>
      <c r="AC366" s="13">
        <f>IF(AQ366="1",BI366,0)</f>
        <v>0</v>
      </c>
      <c r="AD366" s="13">
        <f>IF(AQ366="7",BH366,0)</f>
        <v>0</v>
      </c>
      <c r="AE366" s="13">
        <f>IF(AQ366="7",BI366,0)</f>
        <v>0</v>
      </c>
      <c r="AF366" s="13">
        <f>IF(AQ366="2",BH366,0)</f>
        <v>0</v>
      </c>
      <c r="AG366" s="13">
        <f>IF(AQ366="2",BI366,0)</f>
        <v>0</v>
      </c>
      <c r="AH366" s="13">
        <f>IF(AQ366="0",BJ366,0)</f>
        <v>0</v>
      </c>
      <c r="AI366" s="21" t="s">
        <v>1242</v>
      </c>
      <c r="AJ366" s="13">
        <f>IF(AN366=0,M366,0)</f>
        <v>0</v>
      </c>
      <c r="AK366" s="13">
        <f>IF(AN366=15,M366,0)</f>
        <v>0</v>
      </c>
      <c r="AL366" s="13">
        <f>IF(AN366=21,M366,0)</f>
        <v>0</v>
      </c>
      <c r="AN366" s="13">
        <v>21</v>
      </c>
      <c r="AO366" s="13">
        <f>J366*0</f>
        <v>0</v>
      </c>
      <c r="AP366" s="13">
        <f>J366*(1-0)</f>
        <v>0</v>
      </c>
      <c r="AQ366" s="32" t="s">
        <v>1231</v>
      </c>
      <c r="AV366" s="13">
        <f>AW366+AX366</f>
        <v>0</v>
      </c>
      <c r="AW366" s="13">
        <f>I366*AO366</f>
        <v>0</v>
      </c>
      <c r="AX366" s="13">
        <f>I366*AP366</f>
        <v>0</v>
      </c>
      <c r="AY366" s="32" t="s">
        <v>1116</v>
      </c>
      <c r="AZ366" s="32" t="s">
        <v>604</v>
      </c>
      <c r="BA366" s="21" t="s">
        <v>129</v>
      </c>
      <c r="BC366" s="13">
        <f>AW366+AX366</f>
        <v>0</v>
      </c>
      <c r="BD366" s="13">
        <f>J366/(100-BE366)*100</f>
        <v>0</v>
      </c>
      <c r="BE366" s="13">
        <v>0</v>
      </c>
      <c r="BF366" s="13">
        <f>366</f>
        <v>366</v>
      </c>
      <c r="BH366" s="13">
        <f>I366*AO366</f>
        <v>0</v>
      </c>
      <c r="BI366" s="13">
        <f>I366*AP366</f>
        <v>0</v>
      </c>
      <c r="BJ366" s="13">
        <f>I366*J366</f>
        <v>0</v>
      </c>
      <c r="BK366" s="13"/>
      <c r="BL366" s="13">
        <v>13</v>
      </c>
    </row>
    <row r="367" spans="1:64" ht="15" customHeight="1">
      <c r="A367" s="11" t="s">
        <v>1129</v>
      </c>
      <c r="B367" s="48" t="s">
        <v>1242</v>
      </c>
      <c r="C367" s="48" t="s">
        <v>433</v>
      </c>
      <c r="D367" s="61" t="s">
        <v>1263</v>
      </c>
      <c r="E367" s="61"/>
      <c r="F367" s="61"/>
      <c r="G367" s="61"/>
      <c r="H367" s="48" t="s">
        <v>1195</v>
      </c>
      <c r="I367" s="13">
        <v>122.175</v>
      </c>
      <c r="J367" s="13">
        <v>0</v>
      </c>
      <c r="K367" s="13">
        <f>I367*AO367</f>
        <v>0</v>
      </c>
      <c r="L367" s="13">
        <f>I367*AP367</f>
        <v>0</v>
      </c>
      <c r="M367" s="13">
        <f>I367*J367</f>
        <v>0</v>
      </c>
      <c r="N367" s="13">
        <v>0</v>
      </c>
      <c r="O367" s="10" t="s">
        <v>851</v>
      </c>
      <c r="Z367" s="13">
        <f>IF(AQ367="5",BJ367,0)</f>
        <v>0</v>
      </c>
      <c r="AB367" s="13">
        <f>IF(AQ367="1",BH367,0)</f>
        <v>0</v>
      </c>
      <c r="AC367" s="13">
        <f>IF(AQ367="1",BI367,0)</f>
        <v>0</v>
      </c>
      <c r="AD367" s="13">
        <f>IF(AQ367="7",BH367,0)</f>
        <v>0</v>
      </c>
      <c r="AE367" s="13">
        <f>IF(AQ367="7",BI367,0)</f>
        <v>0</v>
      </c>
      <c r="AF367" s="13">
        <f>IF(AQ367="2",BH367,0)</f>
        <v>0</v>
      </c>
      <c r="AG367" s="13">
        <f>IF(AQ367="2",BI367,0)</f>
        <v>0</v>
      </c>
      <c r="AH367" s="13">
        <f>IF(AQ367="0",BJ367,0)</f>
        <v>0</v>
      </c>
      <c r="AI367" s="21" t="s">
        <v>1242</v>
      </c>
      <c r="AJ367" s="13">
        <f>IF(AN367=0,M367,0)</f>
        <v>0</v>
      </c>
      <c r="AK367" s="13">
        <f>IF(AN367=15,M367,0)</f>
        <v>0</v>
      </c>
      <c r="AL367" s="13">
        <f>IF(AN367=21,M367,0)</f>
        <v>0</v>
      </c>
      <c r="AN367" s="13">
        <v>21</v>
      </c>
      <c r="AO367" s="13">
        <f>J367*0</f>
        <v>0</v>
      </c>
      <c r="AP367" s="13">
        <f>J367*(1-0)</f>
        <v>0</v>
      </c>
      <c r="AQ367" s="32" t="s">
        <v>1231</v>
      </c>
      <c r="AV367" s="13">
        <f>AW367+AX367</f>
        <v>0</v>
      </c>
      <c r="AW367" s="13">
        <f>I367*AO367</f>
        <v>0</v>
      </c>
      <c r="AX367" s="13">
        <f>I367*AP367</f>
        <v>0</v>
      </c>
      <c r="AY367" s="32" t="s">
        <v>1116</v>
      </c>
      <c r="AZ367" s="32" t="s">
        <v>604</v>
      </c>
      <c r="BA367" s="21" t="s">
        <v>129</v>
      </c>
      <c r="BC367" s="13">
        <f>AW367+AX367</f>
        <v>0</v>
      </c>
      <c r="BD367" s="13">
        <f>J367/(100-BE367)*100</f>
        <v>0</v>
      </c>
      <c r="BE367" s="13">
        <v>0</v>
      </c>
      <c r="BF367" s="13">
        <f>367</f>
        <v>367</v>
      </c>
      <c r="BH367" s="13">
        <f>I367*AO367</f>
        <v>0</v>
      </c>
      <c r="BI367" s="13">
        <f>I367*AP367</f>
        <v>0</v>
      </c>
      <c r="BJ367" s="13">
        <f>I367*J367</f>
        <v>0</v>
      </c>
      <c r="BK367" s="13"/>
      <c r="BL367" s="13">
        <v>13</v>
      </c>
    </row>
    <row r="368" spans="1:47" ht="15" customHeight="1">
      <c r="A368" s="30" t="s">
        <v>862</v>
      </c>
      <c r="B368" s="18" t="s">
        <v>1242</v>
      </c>
      <c r="C368" s="18" t="s">
        <v>733</v>
      </c>
      <c r="D368" s="73" t="s">
        <v>712</v>
      </c>
      <c r="E368" s="73"/>
      <c r="F368" s="73"/>
      <c r="G368" s="73"/>
      <c r="H368" s="15" t="s">
        <v>1148</v>
      </c>
      <c r="I368" s="15" t="s">
        <v>1148</v>
      </c>
      <c r="J368" s="15" t="s">
        <v>1148</v>
      </c>
      <c r="K368" s="56">
        <f>SUM(K369:K370)</f>
        <v>0</v>
      </c>
      <c r="L368" s="56">
        <f>SUM(L369:L370)</f>
        <v>0</v>
      </c>
      <c r="M368" s="56">
        <f>SUM(M369:M370)</f>
        <v>0</v>
      </c>
      <c r="N368" s="21" t="s">
        <v>862</v>
      </c>
      <c r="O368" s="47" t="s">
        <v>862</v>
      </c>
      <c r="AI368" s="21" t="s">
        <v>1242</v>
      </c>
      <c r="AS368" s="56">
        <f>SUM(AJ369:AJ370)</f>
        <v>0</v>
      </c>
      <c r="AT368" s="56">
        <f>SUM(AK369:AK370)</f>
        <v>0</v>
      </c>
      <c r="AU368" s="56">
        <f>SUM(AL369:AL370)</f>
        <v>0</v>
      </c>
    </row>
    <row r="369" spans="1:64" ht="15" customHeight="1">
      <c r="A369" s="11" t="s">
        <v>1055</v>
      </c>
      <c r="B369" s="48" t="s">
        <v>1242</v>
      </c>
      <c r="C369" s="48" t="s">
        <v>1384</v>
      </c>
      <c r="D369" s="61" t="s">
        <v>330</v>
      </c>
      <c r="E369" s="61"/>
      <c r="F369" s="61"/>
      <c r="G369" s="61"/>
      <c r="H369" s="48" t="s">
        <v>1018</v>
      </c>
      <c r="I369" s="13">
        <v>4</v>
      </c>
      <c r="J369" s="13">
        <v>0</v>
      </c>
      <c r="K369" s="13">
        <f>I369*AO369</f>
        <v>0</v>
      </c>
      <c r="L369" s="13">
        <f>I369*AP369</f>
        <v>0</v>
      </c>
      <c r="M369" s="13">
        <f>I369*J369</f>
        <v>0</v>
      </c>
      <c r="N369" s="13">
        <v>0.00021</v>
      </c>
      <c r="O369" s="10" t="s">
        <v>851</v>
      </c>
      <c r="Z369" s="13">
        <f>IF(AQ369="5",BJ369,0)</f>
        <v>0</v>
      </c>
      <c r="AB369" s="13">
        <f>IF(AQ369="1",BH369,0)</f>
        <v>0</v>
      </c>
      <c r="AC369" s="13">
        <f>IF(AQ369="1",BI369,0)</f>
        <v>0</v>
      </c>
      <c r="AD369" s="13">
        <f>IF(AQ369="7",BH369,0)</f>
        <v>0</v>
      </c>
      <c r="AE369" s="13">
        <f>IF(AQ369="7",BI369,0)</f>
        <v>0</v>
      </c>
      <c r="AF369" s="13">
        <f>IF(AQ369="2",BH369,0)</f>
        <v>0</v>
      </c>
      <c r="AG369" s="13">
        <f>IF(AQ369="2",BI369,0)</f>
        <v>0</v>
      </c>
      <c r="AH369" s="13">
        <f>IF(AQ369="0",BJ369,0)</f>
        <v>0</v>
      </c>
      <c r="AI369" s="21" t="s">
        <v>1242</v>
      </c>
      <c r="AJ369" s="13">
        <f>IF(AN369=0,M369,0)</f>
        <v>0</v>
      </c>
      <c r="AK369" s="13">
        <f>IF(AN369=15,M369,0)</f>
        <v>0</v>
      </c>
      <c r="AL369" s="13">
        <f>IF(AN369=21,M369,0)</f>
        <v>0</v>
      </c>
      <c r="AN369" s="13">
        <v>21</v>
      </c>
      <c r="AO369" s="13">
        <f>J369*0.0164100406775069</f>
        <v>0</v>
      </c>
      <c r="AP369" s="13">
        <f>J369*(1-0.0164100406775069)</f>
        <v>0</v>
      </c>
      <c r="AQ369" s="32" t="s">
        <v>1231</v>
      </c>
      <c r="AV369" s="13">
        <f>AW369+AX369</f>
        <v>0</v>
      </c>
      <c r="AW369" s="13">
        <f>I369*AO369</f>
        <v>0</v>
      </c>
      <c r="AX369" s="13">
        <f>I369*AP369</f>
        <v>0</v>
      </c>
      <c r="AY369" s="32" t="s">
        <v>1294</v>
      </c>
      <c r="AZ369" s="32" t="s">
        <v>604</v>
      </c>
      <c r="BA369" s="21" t="s">
        <v>129</v>
      </c>
      <c r="BC369" s="13">
        <f>AW369+AX369</f>
        <v>0</v>
      </c>
      <c r="BD369" s="13">
        <f>J369/(100-BE369)*100</f>
        <v>0</v>
      </c>
      <c r="BE369" s="13">
        <v>0</v>
      </c>
      <c r="BF369" s="13">
        <f>369</f>
        <v>369</v>
      </c>
      <c r="BH369" s="13">
        <f>I369*AO369</f>
        <v>0</v>
      </c>
      <c r="BI369" s="13">
        <f>I369*AP369</f>
        <v>0</v>
      </c>
      <c r="BJ369" s="13">
        <f>I369*J369</f>
        <v>0</v>
      </c>
      <c r="BK369" s="13"/>
      <c r="BL369" s="13">
        <v>14</v>
      </c>
    </row>
    <row r="370" spans="1:64" ht="15" customHeight="1">
      <c r="A370" s="11" t="s">
        <v>333</v>
      </c>
      <c r="B370" s="48" t="s">
        <v>1242</v>
      </c>
      <c r="C370" s="48" t="s">
        <v>42</v>
      </c>
      <c r="D370" s="61" t="s">
        <v>1393</v>
      </c>
      <c r="E370" s="61"/>
      <c r="F370" s="61"/>
      <c r="G370" s="61"/>
      <c r="H370" s="48" t="s">
        <v>1018</v>
      </c>
      <c r="I370" s="13">
        <v>4</v>
      </c>
      <c r="J370" s="13">
        <v>0</v>
      </c>
      <c r="K370" s="13">
        <f>I370*AO370</f>
        <v>0</v>
      </c>
      <c r="L370" s="13">
        <f>I370*AP370</f>
        <v>0</v>
      </c>
      <c r="M370" s="13">
        <f>I370*J370</f>
        <v>0</v>
      </c>
      <c r="N370" s="13">
        <v>0.0416</v>
      </c>
      <c r="O370" s="10" t="s">
        <v>851</v>
      </c>
      <c r="Z370" s="13">
        <f>IF(AQ370="5",BJ370,0)</f>
        <v>0</v>
      </c>
      <c r="AB370" s="13">
        <f>IF(AQ370="1",BH370,0)</f>
        <v>0</v>
      </c>
      <c r="AC370" s="13">
        <f>IF(AQ370="1",BI370,0)</f>
        <v>0</v>
      </c>
      <c r="AD370" s="13">
        <f>IF(AQ370="7",BH370,0)</f>
        <v>0</v>
      </c>
      <c r="AE370" s="13">
        <f>IF(AQ370="7",BI370,0)</f>
        <v>0</v>
      </c>
      <c r="AF370" s="13">
        <f>IF(AQ370="2",BH370,0)</f>
        <v>0</v>
      </c>
      <c r="AG370" s="13">
        <f>IF(AQ370="2",BI370,0)</f>
        <v>0</v>
      </c>
      <c r="AH370" s="13">
        <f>IF(AQ370="0",BJ370,0)</f>
        <v>0</v>
      </c>
      <c r="AI370" s="21" t="s">
        <v>1242</v>
      </c>
      <c r="AJ370" s="13">
        <f>IF(AN370=0,M370,0)</f>
        <v>0</v>
      </c>
      <c r="AK370" s="13">
        <f>IF(AN370=15,M370,0)</f>
        <v>0</v>
      </c>
      <c r="AL370" s="13">
        <f>IF(AN370=21,M370,0)</f>
        <v>0</v>
      </c>
      <c r="AN370" s="13">
        <v>21</v>
      </c>
      <c r="AO370" s="13">
        <f>J370*1</f>
        <v>0</v>
      </c>
      <c r="AP370" s="13">
        <f>J370*(1-1)</f>
        <v>0</v>
      </c>
      <c r="AQ370" s="32" t="s">
        <v>1231</v>
      </c>
      <c r="AV370" s="13">
        <f>AW370+AX370</f>
        <v>0</v>
      </c>
      <c r="AW370" s="13">
        <f>I370*AO370</f>
        <v>0</v>
      </c>
      <c r="AX370" s="13">
        <f>I370*AP370</f>
        <v>0</v>
      </c>
      <c r="AY370" s="32" t="s">
        <v>1294</v>
      </c>
      <c r="AZ370" s="32" t="s">
        <v>604</v>
      </c>
      <c r="BA370" s="21" t="s">
        <v>129</v>
      </c>
      <c r="BC370" s="13">
        <f>AW370+AX370</f>
        <v>0</v>
      </c>
      <c r="BD370" s="13">
        <f>J370/(100-BE370)*100</f>
        <v>0</v>
      </c>
      <c r="BE370" s="13">
        <v>0</v>
      </c>
      <c r="BF370" s="13">
        <f>370</f>
        <v>370</v>
      </c>
      <c r="BH370" s="13">
        <f>I370*AO370</f>
        <v>0</v>
      </c>
      <c r="BI370" s="13">
        <f>I370*AP370</f>
        <v>0</v>
      </c>
      <c r="BJ370" s="13">
        <f>I370*J370</f>
        <v>0</v>
      </c>
      <c r="BK370" s="13"/>
      <c r="BL370" s="13">
        <v>14</v>
      </c>
    </row>
    <row r="371" spans="1:47" ht="15" customHeight="1">
      <c r="A371" s="30" t="s">
        <v>862</v>
      </c>
      <c r="B371" s="18" t="s">
        <v>1242</v>
      </c>
      <c r="C371" s="18" t="s">
        <v>473</v>
      </c>
      <c r="D371" s="73" t="s">
        <v>1065</v>
      </c>
      <c r="E371" s="73"/>
      <c r="F371" s="73"/>
      <c r="G371" s="73"/>
      <c r="H371" s="15" t="s">
        <v>1148</v>
      </c>
      <c r="I371" s="15" t="s">
        <v>1148</v>
      </c>
      <c r="J371" s="15" t="s">
        <v>1148</v>
      </c>
      <c r="K371" s="56">
        <f>SUM(K372:K373)</f>
        <v>0</v>
      </c>
      <c r="L371" s="56">
        <f>SUM(L372:L373)</f>
        <v>0</v>
      </c>
      <c r="M371" s="56">
        <f>SUM(M372:M373)</f>
        <v>0</v>
      </c>
      <c r="N371" s="21" t="s">
        <v>862</v>
      </c>
      <c r="O371" s="47" t="s">
        <v>862</v>
      </c>
      <c r="AI371" s="21" t="s">
        <v>1242</v>
      </c>
      <c r="AS371" s="56">
        <f>SUM(AJ372:AJ373)</f>
        <v>0</v>
      </c>
      <c r="AT371" s="56">
        <f>SUM(AK372:AK373)</f>
        <v>0</v>
      </c>
      <c r="AU371" s="56">
        <f>SUM(AL372:AL373)</f>
        <v>0</v>
      </c>
    </row>
    <row r="372" spans="1:64" ht="15" customHeight="1">
      <c r="A372" s="11" t="s">
        <v>550</v>
      </c>
      <c r="B372" s="48" t="s">
        <v>1242</v>
      </c>
      <c r="C372" s="48" t="s">
        <v>1356</v>
      </c>
      <c r="D372" s="61" t="s">
        <v>268</v>
      </c>
      <c r="E372" s="61"/>
      <c r="F372" s="61"/>
      <c r="G372" s="61"/>
      <c r="H372" s="48" t="s">
        <v>1216</v>
      </c>
      <c r="I372" s="13">
        <v>1271.2</v>
      </c>
      <c r="J372" s="13">
        <v>0</v>
      </c>
      <c r="K372" s="13">
        <f>I372*AO372</f>
        <v>0</v>
      </c>
      <c r="L372" s="13">
        <f>I372*AP372</f>
        <v>0</v>
      </c>
      <c r="M372" s="13">
        <f>I372*J372</f>
        <v>0</v>
      </c>
      <c r="N372" s="13">
        <v>0.00099</v>
      </c>
      <c r="O372" s="10" t="s">
        <v>851</v>
      </c>
      <c r="Z372" s="13">
        <f>IF(AQ372="5",BJ372,0)</f>
        <v>0</v>
      </c>
      <c r="AB372" s="13">
        <f>IF(AQ372="1",BH372,0)</f>
        <v>0</v>
      </c>
      <c r="AC372" s="13">
        <f>IF(AQ372="1",BI372,0)</f>
        <v>0</v>
      </c>
      <c r="AD372" s="13">
        <f>IF(AQ372="7",BH372,0)</f>
        <v>0</v>
      </c>
      <c r="AE372" s="13">
        <f>IF(AQ372="7",BI372,0)</f>
        <v>0</v>
      </c>
      <c r="AF372" s="13">
        <f>IF(AQ372="2",BH372,0)</f>
        <v>0</v>
      </c>
      <c r="AG372" s="13">
        <f>IF(AQ372="2",BI372,0)</f>
        <v>0</v>
      </c>
      <c r="AH372" s="13">
        <f>IF(AQ372="0",BJ372,0)</f>
        <v>0</v>
      </c>
      <c r="AI372" s="21" t="s">
        <v>1242</v>
      </c>
      <c r="AJ372" s="13">
        <f>IF(AN372=0,M372,0)</f>
        <v>0</v>
      </c>
      <c r="AK372" s="13">
        <f>IF(AN372=15,M372,0)</f>
        <v>0</v>
      </c>
      <c r="AL372" s="13">
        <f>IF(AN372=21,M372,0)</f>
        <v>0</v>
      </c>
      <c r="AN372" s="13">
        <v>21</v>
      </c>
      <c r="AO372" s="13">
        <f>J372*0.0932214765100671</f>
        <v>0</v>
      </c>
      <c r="AP372" s="13">
        <f>J372*(1-0.0932214765100671)</f>
        <v>0</v>
      </c>
      <c r="AQ372" s="32" t="s">
        <v>1231</v>
      </c>
      <c r="AV372" s="13">
        <f>AW372+AX372</f>
        <v>0</v>
      </c>
      <c r="AW372" s="13">
        <f>I372*AO372</f>
        <v>0</v>
      </c>
      <c r="AX372" s="13">
        <f>I372*AP372</f>
        <v>0</v>
      </c>
      <c r="AY372" s="32" t="s">
        <v>876</v>
      </c>
      <c r="AZ372" s="32" t="s">
        <v>604</v>
      </c>
      <c r="BA372" s="21" t="s">
        <v>129</v>
      </c>
      <c r="BC372" s="13">
        <f>AW372+AX372</f>
        <v>0</v>
      </c>
      <c r="BD372" s="13">
        <f>J372/(100-BE372)*100</f>
        <v>0</v>
      </c>
      <c r="BE372" s="13">
        <v>0</v>
      </c>
      <c r="BF372" s="13">
        <f>372</f>
        <v>372</v>
      </c>
      <c r="BH372" s="13">
        <f>I372*AO372</f>
        <v>0</v>
      </c>
      <c r="BI372" s="13">
        <f>I372*AP372</f>
        <v>0</v>
      </c>
      <c r="BJ372" s="13">
        <f>I372*J372</f>
        <v>0</v>
      </c>
      <c r="BK372" s="13"/>
      <c r="BL372" s="13">
        <v>15</v>
      </c>
    </row>
    <row r="373" spans="1:64" ht="15" customHeight="1">
      <c r="A373" s="11" t="s">
        <v>28</v>
      </c>
      <c r="B373" s="48" t="s">
        <v>1242</v>
      </c>
      <c r="C373" s="48" t="s">
        <v>843</v>
      </c>
      <c r="D373" s="61" t="s">
        <v>1197</v>
      </c>
      <c r="E373" s="61"/>
      <c r="F373" s="61"/>
      <c r="G373" s="61"/>
      <c r="H373" s="48" t="s">
        <v>1216</v>
      </c>
      <c r="I373" s="13">
        <v>1271.2</v>
      </c>
      <c r="J373" s="13">
        <v>0</v>
      </c>
      <c r="K373" s="13">
        <f>I373*AO373</f>
        <v>0</v>
      </c>
      <c r="L373" s="13">
        <f>I373*AP373</f>
        <v>0</v>
      </c>
      <c r="M373" s="13">
        <f>I373*J373</f>
        <v>0</v>
      </c>
      <c r="N373" s="13">
        <v>0</v>
      </c>
      <c r="O373" s="10" t="s">
        <v>851</v>
      </c>
      <c r="Z373" s="13">
        <f>IF(AQ373="5",BJ373,0)</f>
        <v>0</v>
      </c>
      <c r="AB373" s="13">
        <f>IF(AQ373="1",BH373,0)</f>
        <v>0</v>
      </c>
      <c r="AC373" s="13">
        <f>IF(AQ373="1",BI373,0)</f>
        <v>0</v>
      </c>
      <c r="AD373" s="13">
        <f>IF(AQ373="7",BH373,0)</f>
        <v>0</v>
      </c>
      <c r="AE373" s="13">
        <f>IF(AQ373="7",BI373,0)</f>
        <v>0</v>
      </c>
      <c r="AF373" s="13">
        <f>IF(AQ373="2",BH373,0)</f>
        <v>0</v>
      </c>
      <c r="AG373" s="13">
        <f>IF(AQ373="2",BI373,0)</f>
        <v>0</v>
      </c>
      <c r="AH373" s="13">
        <f>IF(AQ373="0",BJ373,0)</f>
        <v>0</v>
      </c>
      <c r="AI373" s="21" t="s">
        <v>1242</v>
      </c>
      <c r="AJ373" s="13">
        <f>IF(AN373=0,M373,0)</f>
        <v>0</v>
      </c>
      <c r="AK373" s="13">
        <f>IF(AN373=15,M373,0)</f>
        <v>0</v>
      </c>
      <c r="AL373" s="13">
        <f>IF(AN373=21,M373,0)</f>
        <v>0</v>
      </c>
      <c r="AN373" s="13">
        <v>21</v>
      </c>
      <c r="AO373" s="13">
        <f>J373*0</f>
        <v>0</v>
      </c>
      <c r="AP373" s="13">
        <f>J373*(1-0)</f>
        <v>0</v>
      </c>
      <c r="AQ373" s="32" t="s">
        <v>1231</v>
      </c>
      <c r="AV373" s="13">
        <f>AW373+AX373</f>
        <v>0</v>
      </c>
      <c r="AW373" s="13">
        <f>I373*AO373</f>
        <v>0</v>
      </c>
      <c r="AX373" s="13">
        <f>I373*AP373</f>
        <v>0</v>
      </c>
      <c r="AY373" s="32" t="s">
        <v>876</v>
      </c>
      <c r="AZ373" s="32" t="s">
        <v>604</v>
      </c>
      <c r="BA373" s="21" t="s">
        <v>129</v>
      </c>
      <c r="BC373" s="13">
        <f>AW373+AX373</f>
        <v>0</v>
      </c>
      <c r="BD373" s="13">
        <f>J373/(100-BE373)*100</f>
        <v>0</v>
      </c>
      <c r="BE373" s="13">
        <v>0</v>
      </c>
      <c r="BF373" s="13">
        <f>373</f>
        <v>373</v>
      </c>
      <c r="BH373" s="13">
        <f>I373*AO373</f>
        <v>0</v>
      </c>
      <c r="BI373" s="13">
        <f>I373*AP373</f>
        <v>0</v>
      </c>
      <c r="BJ373" s="13">
        <f>I373*J373</f>
        <v>0</v>
      </c>
      <c r="BK373" s="13"/>
      <c r="BL373" s="13">
        <v>15</v>
      </c>
    </row>
    <row r="374" spans="1:47" ht="15" customHeight="1">
      <c r="A374" s="30" t="s">
        <v>862</v>
      </c>
      <c r="B374" s="18" t="s">
        <v>1242</v>
      </c>
      <c r="C374" s="18" t="s">
        <v>113</v>
      </c>
      <c r="D374" s="73" t="s">
        <v>1028</v>
      </c>
      <c r="E374" s="73"/>
      <c r="F374" s="73"/>
      <c r="G374" s="73"/>
      <c r="H374" s="15" t="s">
        <v>1148</v>
      </c>
      <c r="I374" s="15" t="s">
        <v>1148</v>
      </c>
      <c r="J374" s="15" t="s">
        <v>1148</v>
      </c>
      <c r="K374" s="56">
        <f>SUM(K375:K376)</f>
        <v>0</v>
      </c>
      <c r="L374" s="56">
        <f>SUM(L375:L376)</f>
        <v>0</v>
      </c>
      <c r="M374" s="56">
        <f>SUM(M375:M376)</f>
        <v>0</v>
      </c>
      <c r="N374" s="21" t="s">
        <v>862</v>
      </c>
      <c r="O374" s="47" t="s">
        <v>862</v>
      </c>
      <c r="AI374" s="21" t="s">
        <v>1242</v>
      </c>
      <c r="AS374" s="56">
        <f>SUM(AJ375:AJ376)</f>
        <v>0</v>
      </c>
      <c r="AT374" s="56">
        <f>SUM(AK375:AK376)</f>
        <v>0</v>
      </c>
      <c r="AU374" s="56">
        <f>SUM(AL375:AL376)</f>
        <v>0</v>
      </c>
    </row>
    <row r="375" spans="1:64" ht="15" customHeight="1">
      <c r="A375" s="11" t="s">
        <v>724</v>
      </c>
      <c r="B375" s="48" t="s">
        <v>1242</v>
      </c>
      <c r="C375" s="48" t="s">
        <v>18</v>
      </c>
      <c r="D375" s="61" t="s">
        <v>1035</v>
      </c>
      <c r="E375" s="61"/>
      <c r="F375" s="61"/>
      <c r="G375" s="61"/>
      <c r="H375" s="48" t="s">
        <v>1195</v>
      </c>
      <c r="I375" s="13">
        <v>39.214</v>
      </c>
      <c r="J375" s="13">
        <v>0</v>
      </c>
      <c r="K375" s="13">
        <f>I375*AO375</f>
        <v>0</v>
      </c>
      <c r="L375" s="13">
        <f>I375*AP375</f>
        <v>0</v>
      </c>
      <c r="M375" s="13">
        <f>I375*J375</f>
        <v>0</v>
      </c>
      <c r="N375" s="13">
        <v>0</v>
      </c>
      <c r="O375" s="10" t="s">
        <v>851</v>
      </c>
      <c r="Z375" s="13">
        <f>IF(AQ375="5",BJ375,0)</f>
        <v>0</v>
      </c>
      <c r="AB375" s="13">
        <f>IF(AQ375="1",BH375,0)</f>
        <v>0</v>
      </c>
      <c r="AC375" s="13">
        <f>IF(AQ375="1",BI375,0)</f>
        <v>0</v>
      </c>
      <c r="AD375" s="13">
        <f>IF(AQ375="7",BH375,0)</f>
        <v>0</v>
      </c>
      <c r="AE375" s="13">
        <f>IF(AQ375="7",BI375,0)</f>
        <v>0</v>
      </c>
      <c r="AF375" s="13">
        <f>IF(AQ375="2",BH375,0)</f>
        <v>0</v>
      </c>
      <c r="AG375" s="13">
        <f>IF(AQ375="2",BI375,0)</f>
        <v>0</v>
      </c>
      <c r="AH375" s="13">
        <f>IF(AQ375="0",BJ375,0)</f>
        <v>0</v>
      </c>
      <c r="AI375" s="21" t="s">
        <v>1242</v>
      </c>
      <c r="AJ375" s="13">
        <f>IF(AN375=0,M375,0)</f>
        <v>0</v>
      </c>
      <c r="AK375" s="13">
        <f>IF(AN375=15,M375,0)</f>
        <v>0</v>
      </c>
      <c r="AL375" s="13">
        <f>IF(AN375=21,M375,0)</f>
        <v>0</v>
      </c>
      <c r="AN375" s="13">
        <v>21</v>
      </c>
      <c r="AO375" s="13">
        <f>J375*0</f>
        <v>0</v>
      </c>
      <c r="AP375" s="13">
        <f>J375*(1-0)</f>
        <v>0</v>
      </c>
      <c r="AQ375" s="32" t="s">
        <v>1231</v>
      </c>
      <c r="AV375" s="13">
        <f>AW375+AX375</f>
        <v>0</v>
      </c>
      <c r="AW375" s="13">
        <f>I375*AO375</f>
        <v>0</v>
      </c>
      <c r="AX375" s="13">
        <f>I375*AP375</f>
        <v>0</v>
      </c>
      <c r="AY375" s="32" t="s">
        <v>1151</v>
      </c>
      <c r="AZ375" s="32" t="s">
        <v>604</v>
      </c>
      <c r="BA375" s="21" t="s">
        <v>129</v>
      </c>
      <c r="BC375" s="13">
        <f>AW375+AX375</f>
        <v>0</v>
      </c>
      <c r="BD375" s="13">
        <f>J375/(100-BE375)*100</f>
        <v>0</v>
      </c>
      <c r="BE375" s="13">
        <v>0</v>
      </c>
      <c r="BF375" s="13">
        <f>375</f>
        <v>375</v>
      </c>
      <c r="BH375" s="13">
        <f>I375*AO375</f>
        <v>0</v>
      </c>
      <c r="BI375" s="13">
        <f>I375*AP375</f>
        <v>0</v>
      </c>
      <c r="BJ375" s="13">
        <f>I375*J375</f>
        <v>0</v>
      </c>
      <c r="BK375" s="13"/>
      <c r="BL375" s="13">
        <v>16</v>
      </c>
    </row>
    <row r="376" spans="1:64" ht="15" customHeight="1">
      <c r="A376" s="11" t="s">
        <v>1128</v>
      </c>
      <c r="B376" s="48" t="s">
        <v>1242</v>
      </c>
      <c r="C376" s="48" t="s">
        <v>560</v>
      </c>
      <c r="D376" s="61" t="s">
        <v>663</v>
      </c>
      <c r="E376" s="61"/>
      <c r="F376" s="61"/>
      <c r="G376" s="61"/>
      <c r="H376" s="48" t="s">
        <v>1195</v>
      </c>
      <c r="I376" s="13">
        <v>392.14</v>
      </c>
      <c r="J376" s="13">
        <v>0</v>
      </c>
      <c r="K376" s="13">
        <f>I376*AO376</f>
        <v>0</v>
      </c>
      <c r="L376" s="13">
        <f>I376*AP376</f>
        <v>0</v>
      </c>
      <c r="M376" s="13">
        <f>I376*J376</f>
        <v>0</v>
      </c>
      <c r="N376" s="13">
        <v>0</v>
      </c>
      <c r="O376" s="10" t="s">
        <v>851</v>
      </c>
      <c r="Z376" s="13">
        <f>IF(AQ376="5",BJ376,0)</f>
        <v>0</v>
      </c>
      <c r="AB376" s="13">
        <f>IF(AQ376="1",BH376,0)</f>
        <v>0</v>
      </c>
      <c r="AC376" s="13">
        <f>IF(AQ376="1",BI376,0)</f>
        <v>0</v>
      </c>
      <c r="AD376" s="13">
        <f>IF(AQ376="7",BH376,0)</f>
        <v>0</v>
      </c>
      <c r="AE376" s="13">
        <f>IF(AQ376="7",BI376,0)</f>
        <v>0</v>
      </c>
      <c r="AF376" s="13">
        <f>IF(AQ376="2",BH376,0)</f>
        <v>0</v>
      </c>
      <c r="AG376" s="13">
        <f>IF(AQ376="2",BI376,0)</f>
        <v>0</v>
      </c>
      <c r="AH376" s="13">
        <f>IF(AQ376="0",BJ376,0)</f>
        <v>0</v>
      </c>
      <c r="AI376" s="21" t="s">
        <v>1242</v>
      </c>
      <c r="AJ376" s="13">
        <f>IF(AN376=0,M376,0)</f>
        <v>0</v>
      </c>
      <c r="AK376" s="13">
        <f>IF(AN376=15,M376,0)</f>
        <v>0</v>
      </c>
      <c r="AL376" s="13">
        <f>IF(AN376=21,M376,0)</f>
        <v>0</v>
      </c>
      <c r="AN376" s="13">
        <v>21</v>
      </c>
      <c r="AO376" s="13">
        <f>J376*0</f>
        <v>0</v>
      </c>
      <c r="AP376" s="13">
        <f>J376*(1-0)</f>
        <v>0</v>
      </c>
      <c r="AQ376" s="32" t="s">
        <v>1231</v>
      </c>
      <c r="AV376" s="13">
        <f>AW376+AX376</f>
        <v>0</v>
      </c>
      <c r="AW376" s="13">
        <f>I376*AO376</f>
        <v>0</v>
      </c>
      <c r="AX376" s="13">
        <f>I376*AP376</f>
        <v>0</v>
      </c>
      <c r="AY376" s="32" t="s">
        <v>1151</v>
      </c>
      <c r="AZ376" s="32" t="s">
        <v>604</v>
      </c>
      <c r="BA376" s="21" t="s">
        <v>129</v>
      </c>
      <c r="BC376" s="13">
        <f>AW376+AX376</f>
        <v>0</v>
      </c>
      <c r="BD376" s="13">
        <f>J376/(100-BE376)*100</f>
        <v>0</v>
      </c>
      <c r="BE376" s="13">
        <v>0</v>
      </c>
      <c r="BF376" s="13">
        <f>376</f>
        <v>376</v>
      </c>
      <c r="BH376" s="13">
        <f>I376*AO376</f>
        <v>0</v>
      </c>
      <c r="BI376" s="13">
        <f>I376*AP376</f>
        <v>0</v>
      </c>
      <c r="BJ376" s="13">
        <f>I376*J376</f>
        <v>0</v>
      </c>
      <c r="BK376" s="13"/>
      <c r="BL376" s="13">
        <v>16</v>
      </c>
    </row>
    <row r="377" spans="1:47" ht="15" customHeight="1">
      <c r="A377" s="30" t="s">
        <v>862</v>
      </c>
      <c r="B377" s="18" t="s">
        <v>1242</v>
      </c>
      <c r="C377" s="18" t="s">
        <v>868</v>
      </c>
      <c r="D377" s="73" t="s">
        <v>167</v>
      </c>
      <c r="E377" s="73"/>
      <c r="F377" s="73"/>
      <c r="G377" s="73"/>
      <c r="H377" s="15" t="s">
        <v>1148</v>
      </c>
      <c r="I377" s="15" t="s">
        <v>1148</v>
      </c>
      <c r="J377" s="15" t="s">
        <v>1148</v>
      </c>
      <c r="K377" s="56">
        <f>SUM(K378:K379)</f>
        <v>0</v>
      </c>
      <c r="L377" s="56">
        <f>SUM(L378:L379)</f>
        <v>0</v>
      </c>
      <c r="M377" s="56">
        <f>SUM(M378:M379)</f>
        <v>0</v>
      </c>
      <c r="N377" s="21" t="s">
        <v>862</v>
      </c>
      <c r="O377" s="47" t="s">
        <v>862</v>
      </c>
      <c r="AI377" s="21" t="s">
        <v>1242</v>
      </c>
      <c r="AS377" s="56">
        <f>SUM(AJ378:AJ379)</f>
        <v>0</v>
      </c>
      <c r="AT377" s="56">
        <f>SUM(AK378:AK379)</f>
        <v>0</v>
      </c>
      <c r="AU377" s="56">
        <f>SUM(AL378:AL379)</f>
        <v>0</v>
      </c>
    </row>
    <row r="378" spans="1:64" ht="15" customHeight="1">
      <c r="A378" s="11" t="s">
        <v>635</v>
      </c>
      <c r="B378" s="48" t="s">
        <v>1242</v>
      </c>
      <c r="C378" s="48" t="s">
        <v>1079</v>
      </c>
      <c r="D378" s="61" t="s">
        <v>39</v>
      </c>
      <c r="E378" s="61"/>
      <c r="F378" s="61"/>
      <c r="G378" s="61"/>
      <c r="H378" s="48" t="s">
        <v>1195</v>
      </c>
      <c r="I378" s="13">
        <v>156.636</v>
      </c>
      <c r="J378" s="13">
        <v>0</v>
      </c>
      <c r="K378" s="13">
        <f>I378*AO378</f>
        <v>0</v>
      </c>
      <c r="L378" s="13">
        <f>I378*AP378</f>
        <v>0</v>
      </c>
      <c r="M378" s="13">
        <f>I378*J378</f>
        <v>0</v>
      </c>
      <c r="N378" s="13">
        <v>1.7</v>
      </c>
      <c r="O378" s="10" t="s">
        <v>851</v>
      </c>
      <c r="Z378" s="13">
        <f>IF(AQ378="5",BJ378,0)</f>
        <v>0</v>
      </c>
      <c r="AB378" s="13">
        <f>IF(AQ378="1",BH378,0)</f>
        <v>0</v>
      </c>
      <c r="AC378" s="13">
        <f>IF(AQ378="1",BI378,0)</f>
        <v>0</v>
      </c>
      <c r="AD378" s="13">
        <f>IF(AQ378="7",BH378,0)</f>
        <v>0</v>
      </c>
      <c r="AE378" s="13">
        <f>IF(AQ378="7",BI378,0)</f>
        <v>0</v>
      </c>
      <c r="AF378" s="13">
        <f>IF(AQ378="2",BH378,0)</f>
        <v>0</v>
      </c>
      <c r="AG378" s="13">
        <f>IF(AQ378="2",BI378,0)</f>
        <v>0</v>
      </c>
      <c r="AH378" s="13">
        <f>IF(AQ378="0",BJ378,0)</f>
        <v>0</v>
      </c>
      <c r="AI378" s="21" t="s">
        <v>1242</v>
      </c>
      <c r="AJ378" s="13">
        <f>IF(AN378=0,M378,0)</f>
        <v>0</v>
      </c>
      <c r="AK378" s="13">
        <f>IF(AN378=15,M378,0)</f>
        <v>0</v>
      </c>
      <c r="AL378" s="13">
        <f>IF(AN378=21,M378,0)</f>
        <v>0</v>
      </c>
      <c r="AN378" s="13">
        <v>21</v>
      </c>
      <c r="AO378" s="13">
        <f>J378*0.503380659550415</f>
        <v>0</v>
      </c>
      <c r="AP378" s="13">
        <f>J378*(1-0.503380659550415)</f>
        <v>0</v>
      </c>
      <c r="AQ378" s="32" t="s">
        <v>1231</v>
      </c>
      <c r="AV378" s="13">
        <f>AW378+AX378</f>
        <v>0</v>
      </c>
      <c r="AW378" s="13">
        <f>I378*AO378</f>
        <v>0</v>
      </c>
      <c r="AX378" s="13">
        <f>I378*AP378</f>
        <v>0</v>
      </c>
      <c r="AY378" s="32" t="s">
        <v>238</v>
      </c>
      <c r="AZ378" s="32" t="s">
        <v>604</v>
      </c>
      <c r="BA378" s="21" t="s">
        <v>129</v>
      </c>
      <c r="BC378" s="13">
        <f>AW378+AX378</f>
        <v>0</v>
      </c>
      <c r="BD378" s="13">
        <f>J378/(100-BE378)*100</f>
        <v>0</v>
      </c>
      <c r="BE378" s="13">
        <v>0</v>
      </c>
      <c r="BF378" s="13">
        <f>378</f>
        <v>378</v>
      </c>
      <c r="BH378" s="13">
        <f>I378*AO378</f>
        <v>0</v>
      </c>
      <c r="BI378" s="13">
        <f>I378*AP378</f>
        <v>0</v>
      </c>
      <c r="BJ378" s="13">
        <f>I378*J378</f>
        <v>0</v>
      </c>
      <c r="BK378" s="13"/>
      <c r="BL378" s="13">
        <v>17</v>
      </c>
    </row>
    <row r="379" spans="1:64" ht="15" customHeight="1">
      <c r="A379" s="11" t="s">
        <v>1107</v>
      </c>
      <c r="B379" s="48" t="s">
        <v>1242</v>
      </c>
      <c r="C379" s="48" t="s">
        <v>911</v>
      </c>
      <c r="D379" s="61" t="s">
        <v>638</v>
      </c>
      <c r="E379" s="61"/>
      <c r="F379" s="61"/>
      <c r="G379" s="61"/>
      <c r="H379" s="48" t="s">
        <v>1195</v>
      </c>
      <c r="I379" s="13">
        <v>532.826</v>
      </c>
      <c r="J379" s="13">
        <v>0</v>
      </c>
      <c r="K379" s="13">
        <f>I379*AO379</f>
        <v>0</v>
      </c>
      <c r="L379" s="13">
        <f>I379*AP379</f>
        <v>0</v>
      </c>
      <c r="M379" s="13">
        <f>I379*J379</f>
        <v>0</v>
      </c>
      <c r="N379" s="13">
        <v>0</v>
      </c>
      <c r="O379" s="10" t="s">
        <v>851</v>
      </c>
      <c r="Z379" s="13">
        <f>IF(AQ379="5",BJ379,0)</f>
        <v>0</v>
      </c>
      <c r="AB379" s="13">
        <f>IF(AQ379="1",BH379,0)</f>
        <v>0</v>
      </c>
      <c r="AC379" s="13">
        <f>IF(AQ379="1",BI379,0)</f>
        <v>0</v>
      </c>
      <c r="AD379" s="13">
        <f>IF(AQ379="7",BH379,0)</f>
        <v>0</v>
      </c>
      <c r="AE379" s="13">
        <f>IF(AQ379="7",BI379,0)</f>
        <v>0</v>
      </c>
      <c r="AF379" s="13">
        <f>IF(AQ379="2",BH379,0)</f>
        <v>0</v>
      </c>
      <c r="AG379" s="13">
        <f>IF(AQ379="2",BI379,0)</f>
        <v>0</v>
      </c>
      <c r="AH379" s="13">
        <f>IF(AQ379="0",BJ379,0)</f>
        <v>0</v>
      </c>
      <c r="AI379" s="21" t="s">
        <v>1242</v>
      </c>
      <c r="AJ379" s="13">
        <f>IF(AN379=0,M379,0)</f>
        <v>0</v>
      </c>
      <c r="AK379" s="13">
        <f>IF(AN379=15,M379,0)</f>
        <v>0</v>
      </c>
      <c r="AL379" s="13">
        <f>IF(AN379=21,M379,0)</f>
        <v>0</v>
      </c>
      <c r="AN379" s="13">
        <v>21</v>
      </c>
      <c r="AO379" s="13">
        <f>J379*0</f>
        <v>0</v>
      </c>
      <c r="AP379" s="13">
        <f>J379*(1-0)</f>
        <v>0</v>
      </c>
      <c r="AQ379" s="32" t="s">
        <v>1231</v>
      </c>
      <c r="AV379" s="13">
        <f>AW379+AX379</f>
        <v>0</v>
      </c>
      <c r="AW379" s="13">
        <f>I379*AO379</f>
        <v>0</v>
      </c>
      <c r="AX379" s="13">
        <f>I379*AP379</f>
        <v>0</v>
      </c>
      <c r="AY379" s="32" t="s">
        <v>238</v>
      </c>
      <c r="AZ379" s="32" t="s">
        <v>604</v>
      </c>
      <c r="BA379" s="21" t="s">
        <v>129</v>
      </c>
      <c r="BC379" s="13">
        <f>AW379+AX379</f>
        <v>0</v>
      </c>
      <c r="BD379" s="13">
        <f>J379/(100-BE379)*100</f>
        <v>0</v>
      </c>
      <c r="BE379" s="13">
        <v>0</v>
      </c>
      <c r="BF379" s="13">
        <f>379</f>
        <v>379</v>
      </c>
      <c r="BH379" s="13">
        <f>I379*AO379</f>
        <v>0</v>
      </c>
      <c r="BI379" s="13">
        <f>I379*AP379</f>
        <v>0</v>
      </c>
      <c r="BJ379" s="13">
        <f>I379*J379</f>
        <v>0</v>
      </c>
      <c r="BK379" s="13"/>
      <c r="BL379" s="13">
        <v>17</v>
      </c>
    </row>
    <row r="380" spans="1:47" ht="15" customHeight="1">
      <c r="A380" s="30" t="s">
        <v>862</v>
      </c>
      <c r="B380" s="18" t="s">
        <v>1242</v>
      </c>
      <c r="C380" s="18" t="s">
        <v>993</v>
      </c>
      <c r="D380" s="73" t="s">
        <v>1249</v>
      </c>
      <c r="E380" s="73"/>
      <c r="F380" s="73"/>
      <c r="G380" s="73"/>
      <c r="H380" s="15" t="s">
        <v>1148</v>
      </c>
      <c r="I380" s="15" t="s">
        <v>1148</v>
      </c>
      <c r="J380" s="15" t="s">
        <v>1148</v>
      </c>
      <c r="K380" s="56">
        <f>SUM(K381:K382)</f>
        <v>0</v>
      </c>
      <c r="L380" s="56">
        <f>SUM(L381:L382)</f>
        <v>0</v>
      </c>
      <c r="M380" s="56">
        <f>SUM(M381:M382)</f>
        <v>0</v>
      </c>
      <c r="N380" s="21" t="s">
        <v>862</v>
      </c>
      <c r="O380" s="47" t="s">
        <v>862</v>
      </c>
      <c r="AI380" s="21" t="s">
        <v>1242</v>
      </c>
      <c r="AS380" s="56">
        <f>SUM(AJ381:AJ382)</f>
        <v>0</v>
      </c>
      <c r="AT380" s="56">
        <f>SUM(AK381:AK382)</f>
        <v>0</v>
      </c>
      <c r="AU380" s="56">
        <f>SUM(AL381:AL382)</f>
        <v>0</v>
      </c>
    </row>
    <row r="381" spans="1:64" ht="15" customHeight="1">
      <c r="A381" s="11" t="s">
        <v>1292</v>
      </c>
      <c r="B381" s="48" t="s">
        <v>1242</v>
      </c>
      <c r="C381" s="48" t="s">
        <v>652</v>
      </c>
      <c r="D381" s="61" t="s">
        <v>990</v>
      </c>
      <c r="E381" s="61"/>
      <c r="F381" s="61"/>
      <c r="G381" s="61"/>
      <c r="H381" s="48" t="s">
        <v>1216</v>
      </c>
      <c r="I381" s="13">
        <v>45</v>
      </c>
      <c r="J381" s="13">
        <v>0</v>
      </c>
      <c r="K381" s="13">
        <f>I381*AO381</f>
        <v>0</v>
      </c>
      <c r="L381" s="13">
        <f>I381*AP381</f>
        <v>0</v>
      </c>
      <c r="M381" s="13">
        <f>I381*J381</f>
        <v>0</v>
      </c>
      <c r="N381" s="13">
        <v>3E-05</v>
      </c>
      <c r="O381" s="10" t="s">
        <v>851</v>
      </c>
      <c r="Z381" s="13">
        <f>IF(AQ381="5",BJ381,0)</f>
        <v>0</v>
      </c>
      <c r="AB381" s="13">
        <f>IF(AQ381="1",BH381,0)</f>
        <v>0</v>
      </c>
      <c r="AC381" s="13">
        <f>IF(AQ381="1",BI381,0)</f>
        <v>0</v>
      </c>
      <c r="AD381" s="13">
        <f>IF(AQ381="7",BH381,0)</f>
        <v>0</v>
      </c>
      <c r="AE381" s="13">
        <f>IF(AQ381="7",BI381,0)</f>
        <v>0</v>
      </c>
      <c r="AF381" s="13">
        <f>IF(AQ381="2",BH381,0)</f>
        <v>0</v>
      </c>
      <c r="AG381" s="13">
        <f>IF(AQ381="2",BI381,0)</f>
        <v>0</v>
      </c>
      <c r="AH381" s="13">
        <f>IF(AQ381="0",BJ381,0)</f>
        <v>0</v>
      </c>
      <c r="AI381" s="21" t="s">
        <v>1242</v>
      </c>
      <c r="AJ381" s="13">
        <f>IF(AN381=0,M381,0)</f>
        <v>0</v>
      </c>
      <c r="AK381" s="13">
        <f>IF(AN381=15,M381,0)</f>
        <v>0</v>
      </c>
      <c r="AL381" s="13">
        <f>IF(AN381=21,M381,0)</f>
        <v>0</v>
      </c>
      <c r="AN381" s="13">
        <v>21</v>
      </c>
      <c r="AO381" s="13">
        <f>J381*0.0401051939513478</f>
        <v>0</v>
      </c>
      <c r="AP381" s="13">
        <f>J381*(1-0.0401051939513478)</f>
        <v>0</v>
      </c>
      <c r="AQ381" s="32" t="s">
        <v>1231</v>
      </c>
      <c r="AV381" s="13">
        <f>AW381+AX381</f>
        <v>0</v>
      </c>
      <c r="AW381" s="13">
        <f>I381*AO381</f>
        <v>0</v>
      </c>
      <c r="AX381" s="13">
        <f>I381*AP381</f>
        <v>0</v>
      </c>
      <c r="AY381" s="32" t="s">
        <v>603</v>
      </c>
      <c r="AZ381" s="32" t="s">
        <v>604</v>
      </c>
      <c r="BA381" s="21" t="s">
        <v>129</v>
      </c>
      <c r="BC381" s="13">
        <f>AW381+AX381</f>
        <v>0</v>
      </c>
      <c r="BD381" s="13">
        <f>J381/(100-BE381)*100</f>
        <v>0</v>
      </c>
      <c r="BE381" s="13">
        <v>0</v>
      </c>
      <c r="BF381" s="13">
        <f>381</f>
        <v>381</v>
      </c>
      <c r="BH381" s="13">
        <f>I381*AO381</f>
        <v>0</v>
      </c>
      <c r="BI381" s="13">
        <f>I381*AP381</f>
        <v>0</v>
      </c>
      <c r="BJ381" s="13">
        <f>I381*J381</f>
        <v>0</v>
      </c>
      <c r="BK381" s="13"/>
      <c r="BL381" s="13">
        <v>18</v>
      </c>
    </row>
    <row r="382" spans="1:64" ht="15" customHeight="1">
      <c r="A382" s="11" t="s">
        <v>364</v>
      </c>
      <c r="B382" s="48" t="s">
        <v>1242</v>
      </c>
      <c r="C382" s="48" t="s">
        <v>1258</v>
      </c>
      <c r="D382" s="61" t="s">
        <v>1324</v>
      </c>
      <c r="E382" s="61"/>
      <c r="F382" s="61"/>
      <c r="G382" s="61"/>
      <c r="H382" s="48" t="s">
        <v>1172</v>
      </c>
      <c r="I382" s="13">
        <v>0.9</v>
      </c>
      <c r="J382" s="13">
        <v>0</v>
      </c>
      <c r="K382" s="13">
        <f>I382*AO382</f>
        <v>0</v>
      </c>
      <c r="L382" s="13">
        <f>I382*AP382</f>
        <v>0</v>
      </c>
      <c r="M382" s="13">
        <f>I382*J382</f>
        <v>0</v>
      </c>
      <c r="N382" s="13">
        <v>0.001</v>
      </c>
      <c r="O382" s="10" t="s">
        <v>851</v>
      </c>
      <c r="Z382" s="13">
        <f>IF(AQ382="5",BJ382,0)</f>
        <v>0</v>
      </c>
      <c r="AB382" s="13">
        <f>IF(AQ382="1",BH382,0)</f>
        <v>0</v>
      </c>
      <c r="AC382" s="13">
        <f>IF(AQ382="1",BI382,0)</f>
        <v>0</v>
      </c>
      <c r="AD382" s="13">
        <f>IF(AQ382="7",BH382,0)</f>
        <v>0</v>
      </c>
      <c r="AE382" s="13">
        <f>IF(AQ382="7",BI382,0)</f>
        <v>0</v>
      </c>
      <c r="AF382" s="13">
        <f>IF(AQ382="2",BH382,0)</f>
        <v>0</v>
      </c>
      <c r="AG382" s="13">
        <f>IF(AQ382="2",BI382,0)</f>
        <v>0</v>
      </c>
      <c r="AH382" s="13">
        <f>IF(AQ382="0",BJ382,0)</f>
        <v>0</v>
      </c>
      <c r="AI382" s="21" t="s">
        <v>1242</v>
      </c>
      <c r="AJ382" s="13">
        <f>IF(AN382=0,M382,0)</f>
        <v>0</v>
      </c>
      <c r="AK382" s="13">
        <f>IF(AN382=15,M382,0)</f>
        <v>0</v>
      </c>
      <c r="AL382" s="13">
        <f>IF(AN382=21,M382,0)</f>
        <v>0</v>
      </c>
      <c r="AN382" s="13">
        <v>21</v>
      </c>
      <c r="AO382" s="13">
        <f>J382*1</f>
        <v>0</v>
      </c>
      <c r="AP382" s="13">
        <f>J382*(1-1)</f>
        <v>0</v>
      </c>
      <c r="AQ382" s="32" t="s">
        <v>1231</v>
      </c>
      <c r="AV382" s="13">
        <f>AW382+AX382</f>
        <v>0</v>
      </c>
      <c r="AW382" s="13">
        <f>I382*AO382</f>
        <v>0</v>
      </c>
      <c r="AX382" s="13">
        <f>I382*AP382</f>
        <v>0</v>
      </c>
      <c r="AY382" s="32" t="s">
        <v>603</v>
      </c>
      <c r="AZ382" s="32" t="s">
        <v>604</v>
      </c>
      <c r="BA382" s="21" t="s">
        <v>129</v>
      </c>
      <c r="BC382" s="13">
        <f>AW382+AX382</f>
        <v>0</v>
      </c>
      <c r="BD382" s="13">
        <f>J382/(100-BE382)*100</f>
        <v>0</v>
      </c>
      <c r="BE382" s="13">
        <v>0</v>
      </c>
      <c r="BF382" s="13">
        <f>382</f>
        <v>382</v>
      </c>
      <c r="BH382" s="13">
        <f>I382*AO382</f>
        <v>0</v>
      </c>
      <c r="BI382" s="13">
        <f>I382*AP382</f>
        <v>0</v>
      </c>
      <c r="BJ382" s="13">
        <f>I382*J382</f>
        <v>0</v>
      </c>
      <c r="BK382" s="13"/>
      <c r="BL382" s="13">
        <v>18</v>
      </c>
    </row>
    <row r="383" spans="1:47" ht="15" customHeight="1">
      <c r="A383" s="30" t="s">
        <v>862</v>
      </c>
      <c r="B383" s="18" t="s">
        <v>1242</v>
      </c>
      <c r="C383" s="18" t="s">
        <v>789</v>
      </c>
      <c r="D383" s="73" t="s">
        <v>419</v>
      </c>
      <c r="E383" s="73"/>
      <c r="F383" s="73"/>
      <c r="G383" s="73"/>
      <c r="H383" s="15" t="s">
        <v>1148</v>
      </c>
      <c r="I383" s="15" t="s">
        <v>1148</v>
      </c>
      <c r="J383" s="15" t="s">
        <v>1148</v>
      </c>
      <c r="K383" s="56">
        <f>SUM(K384:K384)</f>
        <v>0</v>
      </c>
      <c r="L383" s="56">
        <f>SUM(L384:L384)</f>
        <v>0</v>
      </c>
      <c r="M383" s="56">
        <f>SUM(M384:M384)</f>
        <v>0</v>
      </c>
      <c r="N383" s="21" t="s">
        <v>862</v>
      </c>
      <c r="O383" s="47" t="s">
        <v>862</v>
      </c>
      <c r="AI383" s="21" t="s">
        <v>1242</v>
      </c>
      <c r="AS383" s="56">
        <f>SUM(AJ384:AJ384)</f>
        <v>0</v>
      </c>
      <c r="AT383" s="56">
        <f>SUM(AK384:AK384)</f>
        <v>0</v>
      </c>
      <c r="AU383" s="56">
        <f>SUM(AL384:AL384)</f>
        <v>0</v>
      </c>
    </row>
    <row r="384" spans="1:64" ht="15" customHeight="1">
      <c r="A384" s="11" t="s">
        <v>832</v>
      </c>
      <c r="B384" s="48" t="s">
        <v>1242</v>
      </c>
      <c r="C384" s="48" t="s">
        <v>849</v>
      </c>
      <c r="D384" s="61" t="s">
        <v>1192</v>
      </c>
      <c r="E384" s="61"/>
      <c r="F384" s="61"/>
      <c r="G384" s="61"/>
      <c r="H384" s="48" t="s">
        <v>1195</v>
      </c>
      <c r="I384" s="13">
        <v>39.214</v>
      </c>
      <c r="J384" s="13">
        <v>0</v>
      </c>
      <c r="K384" s="13">
        <f>I384*AO384</f>
        <v>0</v>
      </c>
      <c r="L384" s="13">
        <f>I384*AP384</f>
        <v>0</v>
      </c>
      <c r="M384" s="13">
        <f>I384*J384</f>
        <v>0</v>
      </c>
      <c r="N384" s="13">
        <v>0</v>
      </c>
      <c r="O384" s="10" t="s">
        <v>851</v>
      </c>
      <c r="Z384" s="13">
        <f>IF(AQ384="5",BJ384,0)</f>
        <v>0</v>
      </c>
      <c r="AB384" s="13">
        <f>IF(AQ384="1",BH384,0)</f>
        <v>0</v>
      </c>
      <c r="AC384" s="13">
        <f>IF(AQ384="1",BI384,0)</f>
        <v>0</v>
      </c>
      <c r="AD384" s="13">
        <f>IF(AQ384="7",BH384,0)</f>
        <v>0</v>
      </c>
      <c r="AE384" s="13">
        <f>IF(AQ384="7",BI384,0)</f>
        <v>0</v>
      </c>
      <c r="AF384" s="13">
        <f>IF(AQ384="2",BH384,0)</f>
        <v>0</v>
      </c>
      <c r="AG384" s="13">
        <f>IF(AQ384="2",BI384,0)</f>
        <v>0</v>
      </c>
      <c r="AH384" s="13">
        <f>IF(AQ384="0",BJ384,0)</f>
        <v>0</v>
      </c>
      <c r="AI384" s="21" t="s">
        <v>1242</v>
      </c>
      <c r="AJ384" s="13">
        <f>IF(AN384=0,M384,0)</f>
        <v>0</v>
      </c>
      <c r="AK384" s="13">
        <f>IF(AN384=15,M384,0)</f>
        <v>0</v>
      </c>
      <c r="AL384" s="13">
        <f>IF(AN384=21,M384,0)</f>
        <v>0</v>
      </c>
      <c r="AN384" s="13">
        <v>21</v>
      </c>
      <c r="AO384" s="13">
        <f>J384*0</f>
        <v>0</v>
      </c>
      <c r="AP384" s="13">
        <f>J384*(1-0)</f>
        <v>0</v>
      </c>
      <c r="AQ384" s="32" t="s">
        <v>1231</v>
      </c>
      <c r="AV384" s="13">
        <f>AW384+AX384</f>
        <v>0</v>
      </c>
      <c r="AW384" s="13">
        <f>I384*AO384</f>
        <v>0</v>
      </c>
      <c r="AX384" s="13">
        <f>I384*AP384</f>
        <v>0</v>
      </c>
      <c r="AY384" s="32" t="s">
        <v>976</v>
      </c>
      <c r="AZ384" s="32" t="s">
        <v>604</v>
      </c>
      <c r="BA384" s="21" t="s">
        <v>129</v>
      </c>
      <c r="BC384" s="13">
        <f>AW384+AX384</f>
        <v>0</v>
      </c>
      <c r="BD384" s="13">
        <f>J384/(100-BE384)*100</f>
        <v>0</v>
      </c>
      <c r="BE384" s="13">
        <v>0</v>
      </c>
      <c r="BF384" s="13">
        <f>384</f>
        <v>384</v>
      </c>
      <c r="BH384" s="13">
        <f>I384*AO384</f>
        <v>0</v>
      </c>
      <c r="BI384" s="13">
        <f>I384*AP384</f>
        <v>0</v>
      </c>
      <c r="BJ384" s="13">
        <f>I384*J384</f>
        <v>0</v>
      </c>
      <c r="BK384" s="13"/>
      <c r="BL384" s="13">
        <v>19</v>
      </c>
    </row>
    <row r="385" spans="1:47" ht="15" customHeight="1">
      <c r="A385" s="30" t="s">
        <v>862</v>
      </c>
      <c r="B385" s="18" t="s">
        <v>1242</v>
      </c>
      <c r="C385" s="18" t="s">
        <v>423</v>
      </c>
      <c r="D385" s="73" t="s">
        <v>968</v>
      </c>
      <c r="E385" s="73"/>
      <c r="F385" s="73"/>
      <c r="G385" s="73"/>
      <c r="H385" s="15" t="s">
        <v>1148</v>
      </c>
      <c r="I385" s="15" t="s">
        <v>1148</v>
      </c>
      <c r="J385" s="15" t="s">
        <v>1148</v>
      </c>
      <c r="K385" s="56">
        <f>SUM(K386:K387)</f>
        <v>0</v>
      </c>
      <c r="L385" s="56">
        <f>SUM(L386:L387)</f>
        <v>0</v>
      </c>
      <c r="M385" s="56">
        <f>SUM(M386:M387)</f>
        <v>0</v>
      </c>
      <c r="N385" s="21" t="s">
        <v>862</v>
      </c>
      <c r="O385" s="47" t="s">
        <v>862</v>
      </c>
      <c r="AI385" s="21" t="s">
        <v>1242</v>
      </c>
      <c r="AS385" s="56">
        <f>SUM(AJ386:AJ387)</f>
        <v>0</v>
      </c>
      <c r="AT385" s="56">
        <f>SUM(AK386:AK387)</f>
        <v>0</v>
      </c>
      <c r="AU385" s="56">
        <f>SUM(AL386:AL387)</f>
        <v>0</v>
      </c>
    </row>
    <row r="386" spans="1:64" ht="15" customHeight="1">
      <c r="A386" s="11" t="s">
        <v>180</v>
      </c>
      <c r="B386" s="48" t="s">
        <v>1242</v>
      </c>
      <c r="C386" s="48" t="s">
        <v>880</v>
      </c>
      <c r="D386" s="61" t="s">
        <v>358</v>
      </c>
      <c r="E386" s="61"/>
      <c r="F386" s="61"/>
      <c r="G386" s="61"/>
      <c r="H386" s="48" t="s">
        <v>1195</v>
      </c>
      <c r="I386" s="13">
        <v>39.159</v>
      </c>
      <c r="J386" s="13">
        <v>0</v>
      </c>
      <c r="K386" s="13">
        <f>I386*AO386</f>
        <v>0</v>
      </c>
      <c r="L386" s="13">
        <f>I386*AP386</f>
        <v>0</v>
      </c>
      <c r="M386" s="13">
        <f>I386*J386</f>
        <v>0</v>
      </c>
      <c r="N386" s="13">
        <v>1.89077</v>
      </c>
      <c r="O386" s="10" t="s">
        <v>851</v>
      </c>
      <c r="Z386" s="13">
        <f>IF(AQ386="5",BJ386,0)</f>
        <v>0</v>
      </c>
      <c r="AB386" s="13">
        <f>IF(AQ386="1",BH386,0)</f>
        <v>0</v>
      </c>
      <c r="AC386" s="13">
        <f>IF(AQ386="1",BI386,0)</f>
        <v>0</v>
      </c>
      <c r="AD386" s="13">
        <f>IF(AQ386="7",BH386,0)</f>
        <v>0</v>
      </c>
      <c r="AE386" s="13">
        <f>IF(AQ386="7",BI386,0)</f>
        <v>0</v>
      </c>
      <c r="AF386" s="13">
        <f>IF(AQ386="2",BH386,0)</f>
        <v>0</v>
      </c>
      <c r="AG386" s="13">
        <f>IF(AQ386="2",BI386,0)</f>
        <v>0</v>
      </c>
      <c r="AH386" s="13">
        <f>IF(AQ386="0",BJ386,0)</f>
        <v>0</v>
      </c>
      <c r="AI386" s="21" t="s">
        <v>1242</v>
      </c>
      <c r="AJ386" s="13">
        <f>IF(AN386=0,M386,0)</f>
        <v>0</v>
      </c>
      <c r="AK386" s="13">
        <f>IF(AN386=15,M386,0)</f>
        <v>0</v>
      </c>
      <c r="AL386" s="13">
        <f>IF(AN386=21,M386,0)</f>
        <v>0</v>
      </c>
      <c r="AN386" s="13">
        <v>21</v>
      </c>
      <c r="AO386" s="13">
        <f>J386*0.480904523416475</f>
        <v>0</v>
      </c>
      <c r="AP386" s="13">
        <f>J386*(1-0.480904523416475)</f>
        <v>0</v>
      </c>
      <c r="AQ386" s="32" t="s">
        <v>1231</v>
      </c>
      <c r="AV386" s="13">
        <f>AW386+AX386</f>
        <v>0</v>
      </c>
      <c r="AW386" s="13">
        <f>I386*AO386</f>
        <v>0</v>
      </c>
      <c r="AX386" s="13">
        <f>I386*AP386</f>
        <v>0</v>
      </c>
      <c r="AY386" s="32" t="s">
        <v>594</v>
      </c>
      <c r="AZ386" s="32" t="s">
        <v>343</v>
      </c>
      <c r="BA386" s="21" t="s">
        <v>129</v>
      </c>
      <c r="BC386" s="13">
        <f>AW386+AX386</f>
        <v>0</v>
      </c>
      <c r="BD386" s="13">
        <f>J386/(100-BE386)*100</f>
        <v>0</v>
      </c>
      <c r="BE386" s="13">
        <v>0</v>
      </c>
      <c r="BF386" s="13">
        <f>386</f>
        <v>386</v>
      </c>
      <c r="BH386" s="13">
        <f>I386*AO386</f>
        <v>0</v>
      </c>
      <c r="BI386" s="13">
        <f>I386*AP386</f>
        <v>0</v>
      </c>
      <c r="BJ386" s="13">
        <f>I386*J386</f>
        <v>0</v>
      </c>
      <c r="BK386" s="13"/>
      <c r="BL386" s="13">
        <v>45</v>
      </c>
    </row>
    <row r="387" spans="1:64" ht="15" customHeight="1">
      <c r="A387" s="11" t="s">
        <v>318</v>
      </c>
      <c r="B387" s="48" t="s">
        <v>1242</v>
      </c>
      <c r="C387" s="48" t="s">
        <v>995</v>
      </c>
      <c r="D387" s="61" t="s">
        <v>1335</v>
      </c>
      <c r="E387" s="61"/>
      <c r="F387" s="61"/>
      <c r="G387" s="61"/>
      <c r="H387" s="48" t="s">
        <v>1195</v>
      </c>
      <c r="I387" s="13">
        <v>0.05</v>
      </c>
      <c r="J387" s="13">
        <v>0</v>
      </c>
      <c r="K387" s="13">
        <f>I387*AO387</f>
        <v>0</v>
      </c>
      <c r="L387" s="13">
        <f>I387*AP387</f>
        <v>0</v>
      </c>
      <c r="M387" s="13">
        <f>I387*J387</f>
        <v>0</v>
      </c>
      <c r="N387" s="13">
        <v>2.5</v>
      </c>
      <c r="O387" s="10" t="s">
        <v>851</v>
      </c>
      <c r="Z387" s="13">
        <f>IF(AQ387="5",BJ387,0)</f>
        <v>0</v>
      </c>
      <c r="AB387" s="13">
        <f>IF(AQ387="1",BH387,0)</f>
        <v>0</v>
      </c>
      <c r="AC387" s="13">
        <f>IF(AQ387="1",BI387,0)</f>
        <v>0</v>
      </c>
      <c r="AD387" s="13">
        <f>IF(AQ387="7",BH387,0)</f>
        <v>0</v>
      </c>
      <c r="AE387" s="13">
        <f>IF(AQ387="7",BI387,0)</f>
        <v>0</v>
      </c>
      <c r="AF387" s="13">
        <f>IF(AQ387="2",BH387,0)</f>
        <v>0</v>
      </c>
      <c r="AG387" s="13">
        <f>IF(AQ387="2",BI387,0)</f>
        <v>0</v>
      </c>
      <c r="AH387" s="13">
        <f>IF(AQ387="0",BJ387,0)</f>
        <v>0</v>
      </c>
      <c r="AI387" s="21" t="s">
        <v>1242</v>
      </c>
      <c r="AJ387" s="13">
        <f>IF(AN387=0,M387,0)</f>
        <v>0</v>
      </c>
      <c r="AK387" s="13">
        <f>IF(AN387=15,M387,0)</f>
        <v>0</v>
      </c>
      <c r="AL387" s="13">
        <f>IF(AN387=21,M387,0)</f>
        <v>0</v>
      </c>
      <c r="AN387" s="13">
        <v>21</v>
      </c>
      <c r="AO387" s="13">
        <f>J387*0.786681350954479</f>
        <v>0</v>
      </c>
      <c r="AP387" s="13">
        <f>J387*(1-0.786681350954479)</f>
        <v>0</v>
      </c>
      <c r="AQ387" s="32" t="s">
        <v>1231</v>
      </c>
      <c r="AV387" s="13">
        <f>AW387+AX387</f>
        <v>0</v>
      </c>
      <c r="AW387" s="13">
        <f>I387*AO387</f>
        <v>0</v>
      </c>
      <c r="AX387" s="13">
        <f>I387*AP387</f>
        <v>0</v>
      </c>
      <c r="AY387" s="32" t="s">
        <v>594</v>
      </c>
      <c r="AZ387" s="32" t="s">
        <v>343</v>
      </c>
      <c r="BA387" s="21" t="s">
        <v>129</v>
      </c>
      <c r="BC387" s="13">
        <f>AW387+AX387</f>
        <v>0</v>
      </c>
      <c r="BD387" s="13">
        <f>J387/(100-BE387)*100</f>
        <v>0</v>
      </c>
      <c r="BE387" s="13">
        <v>0</v>
      </c>
      <c r="BF387" s="13">
        <f>387</f>
        <v>387</v>
      </c>
      <c r="BH387" s="13">
        <f>I387*AO387</f>
        <v>0</v>
      </c>
      <c r="BI387" s="13">
        <f>I387*AP387</f>
        <v>0</v>
      </c>
      <c r="BJ387" s="13">
        <f>I387*J387</f>
        <v>0</v>
      </c>
      <c r="BK387" s="13"/>
      <c r="BL387" s="13">
        <v>45</v>
      </c>
    </row>
    <row r="388" spans="1:47" ht="15" customHeight="1">
      <c r="A388" s="30" t="s">
        <v>862</v>
      </c>
      <c r="B388" s="18" t="s">
        <v>1242</v>
      </c>
      <c r="C388" s="18" t="s">
        <v>1119</v>
      </c>
      <c r="D388" s="73" t="s">
        <v>763</v>
      </c>
      <c r="E388" s="73"/>
      <c r="F388" s="73"/>
      <c r="G388" s="73"/>
      <c r="H388" s="15" t="s">
        <v>1148</v>
      </c>
      <c r="I388" s="15" t="s">
        <v>1148</v>
      </c>
      <c r="J388" s="15" t="s">
        <v>1148</v>
      </c>
      <c r="K388" s="56">
        <f>SUM(K389:K389)</f>
        <v>0</v>
      </c>
      <c r="L388" s="56">
        <f>SUM(L389:L389)</f>
        <v>0</v>
      </c>
      <c r="M388" s="56">
        <f>SUM(M389:M389)</f>
        <v>0</v>
      </c>
      <c r="N388" s="21" t="s">
        <v>862</v>
      </c>
      <c r="O388" s="47" t="s">
        <v>862</v>
      </c>
      <c r="AI388" s="21" t="s">
        <v>1242</v>
      </c>
      <c r="AS388" s="56">
        <f>SUM(AJ389:AJ389)</f>
        <v>0</v>
      </c>
      <c r="AT388" s="56">
        <f>SUM(AK389:AK389)</f>
        <v>0</v>
      </c>
      <c r="AU388" s="56">
        <f>SUM(AL389:AL389)</f>
        <v>0</v>
      </c>
    </row>
    <row r="389" spans="1:64" ht="15" customHeight="1">
      <c r="A389" s="11" t="s">
        <v>1396</v>
      </c>
      <c r="B389" s="48" t="s">
        <v>1242</v>
      </c>
      <c r="C389" s="48" t="s">
        <v>108</v>
      </c>
      <c r="D389" s="61" t="s">
        <v>877</v>
      </c>
      <c r="E389" s="61"/>
      <c r="F389" s="61"/>
      <c r="G389" s="61"/>
      <c r="H389" s="48" t="s">
        <v>299</v>
      </c>
      <c r="I389" s="13">
        <v>47</v>
      </c>
      <c r="J389" s="13">
        <v>0</v>
      </c>
      <c r="K389" s="13">
        <f>I389*AO389</f>
        <v>0</v>
      </c>
      <c r="L389" s="13">
        <f>I389*AP389</f>
        <v>0</v>
      </c>
      <c r="M389" s="13">
        <f>I389*J389</f>
        <v>0</v>
      </c>
      <c r="N389" s="13">
        <v>0</v>
      </c>
      <c r="O389" s="10" t="s">
        <v>851</v>
      </c>
      <c r="Z389" s="13">
        <f>IF(AQ389="5",BJ389,0)</f>
        <v>0</v>
      </c>
      <c r="AB389" s="13">
        <f>IF(AQ389="1",BH389,0)</f>
        <v>0</v>
      </c>
      <c r="AC389" s="13">
        <f>IF(AQ389="1",BI389,0)</f>
        <v>0</v>
      </c>
      <c r="AD389" s="13">
        <f>IF(AQ389="7",BH389,0)</f>
        <v>0</v>
      </c>
      <c r="AE389" s="13">
        <f>IF(AQ389="7",BI389,0)</f>
        <v>0</v>
      </c>
      <c r="AF389" s="13">
        <f>IF(AQ389="2",BH389,0)</f>
        <v>0</v>
      </c>
      <c r="AG389" s="13">
        <f>IF(AQ389="2",BI389,0)</f>
        <v>0</v>
      </c>
      <c r="AH389" s="13">
        <f>IF(AQ389="0",BJ389,0)</f>
        <v>0</v>
      </c>
      <c r="AI389" s="21" t="s">
        <v>1242</v>
      </c>
      <c r="AJ389" s="13">
        <f>IF(AN389=0,M389,0)</f>
        <v>0</v>
      </c>
      <c r="AK389" s="13">
        <f>IF(AN389=15,M389,0)</f>
        <v>0</v>
      </c>
      <c r="AL389" s="13">
        <f>IF(AN389=21,M389,0)</f>
        <v>0</v>
      </c>
      <c r="AN389" s="13">
        <v>21</v>
      </c>
      <c r="AO389" s="13">
        <f>J389*0</f>
        <v>0</v>
      </c>
      <c r="AP389" s="13">
        <f>J389*(1-0)</f>
        <v>0</v>
      </c>
      <c r="AQ389" s="32" t="s">
        <v>1233</v>
      </c>
      <c r="AV389" s="13">
        <f>AW389+AX389</f>
        <v>0</v>
      </c>
      <c r="AW389" s="13">
        <f>I389*AO389</f>
        <v>0</v>
      </c>
      <c r="AX389" s="13">
        <f>I389*AP389</f>
        <v>0</v>
      </c>
      <c r="AY389" s="32" t="s">
        <v>786</v>
      </c>
      <c r="AZ389" s="32" t="s">
        <v>1320</v>
      </c>
      <c r="BA389" s="21" t="s">
        <v>129</v>
      </c>
      <c r="BC389" s="13">
        <f>AW389+AX389</f>
        <v>0</v>
      </c>
      <c r="BD389" s="13">
        <f>J389/(100-BE389)*100</f>
        <v>0</v>
      </c>
      <c r="BE389" s="13">
        <v>0</v>
      </c>
      <c r="BF389" s="13">
        <f>389</f>
        <v>389</v>
      </c>
      <c r="BH389" s="13">
        <f>I389*AO389</f>
        <v>0</v>
      </c>
      <c r="BI389" s="13">
        <f>I389*AP389</f>
        <v>0</v>
      </c>
      <c r="BJ389" s="13">
        <f>I389*J389</f>
        <v>0</v>
      </c>
      <c r="BK389" s="13"/>
      <c r="BL389" s="13">
        <v>722</v>
      </c>
    </row>
    <row r="390" spans="1:47" ht="15" customHeight="1">
      <c r="A390" s="30" t="s">
        <v>862</v>
      </c>
      <c r="B390" s="18" t="s">
        <v>1242</v>
      </c>
      <c r="C390" s="18" t="s">
        <v>596</v>
      </c>
      <c r="D390" s="73" t="s">
        <v>545</v>
      </c>
      <c r="E390" s="73"/>
      <c r="F390" s="73"/>
      <c r="G390" s="73"/>
      <c r="H390" s="15" t="s">
        <v>1148</v>
      </c>
      <c r="I390" s="15" t="s">
        <v>1148</v>
      </c>
      <c r="J390" s="15" t="s">
        <v>1148</v>
      </c>
      <c r="K390" s="56">
        <f>SUM(K391:K398)</f>
        <v>0</v>
      </c>
      <c r="L390" s="56">
        <f>SUM(L391:L398)</f>
        <v>0</v>
      </c>
      <c r="M390" s="56">
        <f>SUM(M391:M398)</f>
        <v>0</v>
      </c>
      <c r="N390" s="21" t="s">
        <v>862</v>
      </c>
      <c r="O390" s="47" t="s">
        <v>862</v>
      </c>
      <c r="AI390" s="21" t="s">
        <v>1242</v>
      </c>
      <c r="AS390" s="56">
        <f>SUM(AJ391:AJ398)</f>
        <v>0</v>
      </c>
      <c r="AT390" s="56">
        <f>SUM(AK391:AK398)</f>
        <v>0</v>
      </c>
      <c r="AU390" s="56">
        <f>SUM(AL391:AL398)</f>
        <v>0</v>
      </c>
    </row>
    <row r="391" spans="1:64" ht="15" customHeight="1">
      <c r="A391" s="11" t="s">
        <v>1271</v>
      </c>
      <c r="B391" s="48" t="s">
        <v>1242</v>
      </c>
      <c r="C391" s="48" t="s">
        <v>565</v>
      </c>
      <c r="D391" s="61" t="s">
        <v>699</v>
      </c>
      <c r="E391" s="61"/>
      <c r="F391" s="61"/>
      <c r="G391" s="61"/>
      <c r="H391" s="48" t="s">
        <v>299</v>
      </c>
      <c r="I391" s="13">
        <v>2</v>
      </c>
      <c r="J391" s="13">
        <v>0</v>
      </c>
      <c r="K391" s="13">
        <f aca="true" t="shared" si="254" ref="K391:K398">I391*AO391</f>
        <v>0</v>
      </c>
      <c r="L391" s="13">
        <f aca="true" t="shared" si="255" ref="L391:L398">I391*AP391</f>
        <v>0</v>
      </c>
      <c r="M391" s="13">
        <f aca="true" t="shared" si="256" ref="M391:M398">I391*J391</f>
        <v>0</v>
      </c>
      <c r="N391" s="13">
        <v>0.00022</v>
      </c>
      <c r="O391" s="10" t="s">
        <v>851</v>
      </c>
      <c r="Z391" s="13">
        <f aca="true" t="shared" si="257" ref="Z391:Z398">IF(AQ391="5",BJ391,0)</f>
        <v>0</v>
      </c>
      <c r="AB391" s="13">
        <f aca="true" t="shared" si="258" ref="AB391:AB398">IF(AQ391="1",BH391,0)</f>
        <v>0</v>
      </c>
      <c r="AC391" s="13">
        <f aca="true" t="shared" si="259" ref="AC391:AC398">IF(AQ391="1",BI391,0)</f>
        <v>0</v>
      </c>
      <c r="AD391" s="13">
        <f aca="true" t="shared" si="260" ref="AD391:AD398">IF(AQ391="7",BH391,0)</f>
        <v>0</v>
      </c>
      <c r="AE391" s="13">
        <f aca="true" t="shared" si="261" ref="AE391:AE398">IF(AQ391="7",BI391,0)</f>
        <v>0</v>
      </c>
      <c r="AF391" s="13">
        <f aca="true" t="shared" si="262" ref="AF391:AF398">IF(AQ391="2",BH391,0)</f>
        <v>0</v>
      </c>
      <c r="AG391" s="13">
        <f aca="true" t="shared" si="263" ref="AG391:AG398">IF(AQ391="2",BI391,0)</f>
        <v>0</v>
      </c>
      <c r="AH391" s="13">
        <f aca="true" t="shared" si="264" ref="AH391:AH398">IF(AQ391="0",BJ391,0)</f>
        <v>0</v>
      </c>
      <c r="AI391" s="21" t="s">
        <v>1242</v>
      </c>
      <c r="AJ391" s="13">
        <f aca="true" t="shared" si="265" ref="AJ391:AJ398">IF(AN391=0,M391,0)</f>
        <v>0</v>
      </c>
      <c r="AK391" s="13">
        <f aca="true" t="shared" si="266" ref="AK391:AK398">IF(AN391=15,M391,0)</f>
        <v>0</v>
      </c>
      <c r="AL391" s="13">
        <f aca="true" t="shared" si="267" ref="AL391:AL398">IF(AN391=21,M391,0)</f>
        <v>0</v>
      </c>
      <c r="AN391" s="13">
        <v>21</v>
      </c>
      <c r="AO391" s="13">
        <f>J391*0.225335234199054</f>
        <v>0</v>
      </c>
      <c r="AP391" s="13">
        <f>J391*(1-0.225335234199054)</f>
        <v>0</v>
      </c>
      <c r="AQ391" s="32" t="s">
        <v>1231</v>
      </c>
      <c r="AV391" s="13">
        <f aca="true" t="shared" si="268" ref="AV391:AV398">AW391+AX391</f>
        <v>0</v>
      </c>
      <c r="AW391" s="13">
        <f aca="true" t="shared" si="269" ref="AW391:AW398">I391*AO391</f>
        <v>0</v>
      </c>
      <c r="AX391" s="13">
        <f aca="true" t="shared" si="270" ref="AX391:AX398">I391*AP391</f>
        <v>0</v>
      </c>
      <c r="AY391" s="32" t="s">
        <v>1068</v>
      </c>
      <c r="AZ391" s="32" t="s">
        <v>141</v>
      </c>
      <c r="BA391" s="21" t="s">
        <v>129</v>
      </c>
      <c r="BC391" s="13">
        <f aca="true" t="shared" si="271" ref="BC391:BC398">AW391+AX391</f>
        <v>0</v>
      </c>
      <c r="BD391" s="13">
        <f aca="true" t="shared" si="272" ref="BD391:BD398">J391/(100-BE391)*100</f>
        <v>0</v>
      </c>
      <c r="BE391" s="13">
        <v>0</v>
      </c>
      <c r="BF391" s="13">
        <f>391</f>
        <v>391</v>
      </c>
      <c r="BH391" s="13">
        <f aca="true" t="shared" si="273" ref="BH391:BH398">I391*AO391</f>
        <v>0</v>
      </c>
      <c r="BI391" s="13">
        <f aca="true" t="shared" si="274" ref="BI391:BI398">I391*AP391</f>
        <v>0</v>
      </c>
      <c r="BJ391" s="13">
        <f aca="true" t="shared" si="275" ref="BJ391:BJ398">I391*J391</f>
        <v>0</v>
      </c>
      <c r="BK391" s="13"/>
      <c r="BL391" s="13">
        <v>85</v>
      </c>
    </row>
    <row r="392" spans="1:64" ht="15" customHeight="1">
      <c r="A392" s="11" t="s">
        <v>564</v>
      </c>
      <c r="B392" s="48" t="s">
        <v>1242</v>
      </c>
      <c r="C392" s="48" t="s">
        <v>1006</v>
      </c>
      <c r="D392" s="61" t="s">
        <v>5</v>
      </c>
      <c r="E392" s="61"/>
      <c r="F392" s="61"/>
      <c r="G392" s="61"/>
      <c r="H392" s="48" t="s">
        <v>299</v>
      </c>
      <c r="I392" s="13">
        <v>4</v>
      </c>
      <c r="J392" s="13">
        <v>0</v>
      </c>
      <c r="K392" s="13">
        <f t="shared" si="254"/>
        <v>0</v>
      </c>
      <c r="L392" s="13">
        <f t="shared" si="255"/>
        <v>0</v>
      </c>
      <c r="M392" s="13">
        <f t="shared" si="256"/>
        <v>0</v>
      </c>
      <c r="N392" s="13">
        <v>0.00062</v>
      </c>
      <c r="O392" s="10" t="s">
        <v>851</v>
      </c>
      <c r="Z392" s="13">
        <f t="shared" si="257"/>
        <v>0</v>
      </c>
      <c r="AB392" s="13">
        <f t="shared" si="258"/>
        <v>0</v>
      </c>
      <c r="AC392" s="13">
        <f t="shared" si="259"/>
        <v>0</v>
      </c>
      <c r="AD392" s="13">
        <f t="shared" si="260"/>
        <v>0</v>
      </c>
      <c r="AE392" s="13">
        <f t="shared" si="261"/>
        <v>0</v>
      </c>
      <c r="AF392" s="13">
        <f t="shared" si="262"/>
        <v>0</v>
      </c>
      <c r="AG392" s="13">
        <f t="shared" si="263"/>
        <v>0</v>
      </c>
      <c r="AH392" s="13">
        <f t="shared" si="264"/>
        <v>0</v>
      </c>
      <c r="AI392" s="21" t="s">
        <v>1242</v>
      </c>
      <c r="AJ392" s="13">
        <f t="shared" si="265"/>
        <v>0</v>
      </c>
      <c r="AK392" s="13">
        <f t="shared" si="266"/>
        <v>0</v>
      </c>
      <c r="AL392" s="13">
        <f t="shared" si="267"/>
        <v>0</v>
      </c>
      <c r="AN392" s="13">
        <v>21</v>
      </c>
      <c r="AO392" s="13">
        <f>J392*0.331530944625407</f>
        <v>0</v>
      </c>
      <c r="AP392" s="13">
        <f>J392*(1-0.331530944625407)</f>
        <v>0</v>
      </c>
      <c r="AQ392" s="32" t="s">
        <v>1231</v>
      </c>
      <c r="AV392" s="13">
        <f t="shared" si="268"/>
        <v>0</v>
      </c>
      <c r="AW392" s="13">
        <f t="shared" si="269"/>
        <v>0</v>
      </c>
      <c r="AX392" s="13">
        <f t="shared" si="270"/>
        <v>0</v>
      </c>
      <c r="AY392" s="32" t="s">
        <v>1068</v>
      </c>
      <c r="AZ392" s="32" t="s">
        <v>141</v>
      </c>
      <c r="BA392" s="21" t="s">
        <v>129</v>
      </c>
      <c r="BC392" s="13">
        <f t="shared" si="271"/>
        <v>0</v>
      </c>
      <c r="BD392" s="13">
        <f t="shared" si="272"/>
        <v>0</v>
      </c>
      <c r="BE392" s="13">
        <v>0</v>
      </c>
      <c r="BF392" s="13">
        <f>392</f>
        <v>392</v>
      </c>
      <c r="BH392" s="13">
        <f t="shared" si="273"/>
        <v>0</v>
      </c>
      <c r="BI392" s="13">
        <f t="shared" si="274"/>
        <v>0</v>
      </c>
      <c r="BJ392" s="13">
        <f t="shared" si="275"/>
        <v>0</v>
      </c>
      <c r="BK392" s="13"/>
      <c r="BL392" s="13">
        <v>85</v>
      </c>
    </row>
    <row r="393" spans="1:64" ht="15" customHeight="1">
      <c r="A393" s="11" t="s">
        <v>1090</v>
      </c>
      <c r="B393" s="48" t="s">
        <v>1242</v>
      </c>
      <c r="C393" s="48" t="s">
        <v>1225</v>
      </c>
      <c r="D393" s="61" t="s">
        <v>587</v>
      </c>
      <c r="E393" s="61"/>
      <c r="F393" s="61"/>
      <c r="G393" s="61"/>
      <c r="H393" s="48" t="s">
        <v>299</v>
      </c>
      <c r="I393" s="13">
        <v>2</v>
      </c>
      <c r="J393" s="13">
        <v>0</v>
      </c>
      <c r="K393" s="13">
        <f t="shared" si="254"/>
        <v>0</v>
      </c>
      <c r="L393" s="13">
        <f t="shared" si="255"/>
        <v>0</v>
      </c>
      <c r="M393" s="13">
        <f t="shared" si="256"/>
        <v>0</v>
      </c>
      <c r="N393" s="13">
        <v>0.015</v>
      </c>
      <c r="O393" s="10" t="s">
        <v>851</v>
      </c>
      <c r="Z393" s="13">
        <f t="shared" si="257"/>
        <v>0</v>
      </c>
      <c r="AB393" s="13">
        <f t="shared" si="258"/>
        <v>0</v>
      </c>
      <c r="AC393" s="13">
        <f t="shared" si="259"/>
        <v>0</v>
      </c>
      <c r="AD393" s="13">
        <f t="shared" si="260"/>
        <v>0</v>
      </c>
      <c r="AE393" s="13">
        <f t="shared" si="261"/>
        <v>0</v>
      </c>
      <c r="AF393" s="13">
        <f t="shared" si="262"/>
        <v>0</v>
      </c>
      <c r="AG393" s="13">
        <f t="shared" si="263"/>
        <v>0</v>
      </c>
      <c r="AH393" s="13">
        <f t="shared" si="264"/>
        <v>0</v>
      </c>
      <c r="AI393" s="21" t="s">
        <v>1242</v>
      </c>
      <c r="AJ393" s="13">
        <f t="shared" si="265"/>
        <v>0</v>
      </c>
      <c r="AK393" s="13">
        <f t="shared" si="266"/>
        <v>0</v>
      </c>
      <c r="AL393" s="13">
        <f t="shared" si="267"/>
        <v>0</v>
      </c>
      <c r="AN393" s="13">
        <v>21</v>
      </c>
      <c r="AO393" s="13">
        <f>J393*1</f>
        <v>0</v>
      </c>
      <c r="AP393" s="13">
        <f>J393*(1-1)</f>
        <v>0</v>
      </c>
      <c r="AQ393" s="32" t="s">
        <v>1231</v>
      </c>
      <c r="AV393" s="13">
        <f t="shared" si="268"/>
        <v>0</v>
      </c>
      <c r="AW393" s="13">
        <f t="shared" si="269"/>
        <v>0</v>
      </c>
      <c r="AX393" s="13">
        <f t="shared" si="270"/>
        <v>0</v>
      </c>
      <c r="AY393" s="32" t="s">
        <v>1068</v>
      </c>
      <c r="AZ393" s="32" t="s">
        <v>141</v>
      </c>
      <c r="BA393" s="21" t="s">
        <v>129</v>
      </c>
      <c r="BC393" s="13">
        <f t="shared" si="271"/>
        <v>0</v>
      </c>
      <c r="BD393" s="13">
        <f t="shared" si="272"/>
        <v>0</v>
      </c>
      <c r="BE393" s="13">
        <v>0</v>
      </c>
      <c r="BF393" s="13">
        <f>393</f>
        <v>393</v>
      </c>
      <c r="BH393" s="13">
        <f t="shared" si="273"/>
        <v>0</v>
      </c>
      <c r="BI393" s="13">
        <f t="shared" si="274"/>
        <v>0</v>
      </c>
      <c r="BJ393" s="13">
        <f t="shared" si="275"/>
        <v>0</v>
      </c>
      <c r="BK393" s="13"/>
      <c r="BL393" s="13">
        <v>85</v>
      </c>
    </row>
    <row r="394" spans="1:64" ht="15" customHeight="1">
      <c r="A394" s="11" t="s">
        <v>13</v>
      </c>
      <c r="B394" s="48" t="s">
        <v>1242</v>
      </c>
      <c r="C394" s="48" t="s">
        <v>695</v>
      </c>
      <c r="D394" s="61" t="s">
        <v>939</v>
      </c>
      <c r="E394" s="61"/>
      <c r="F394" s="61"/>
      <c r="G394" s="61"/>
      <c r="H394" s="48" t="s">
        <v>299</v>
      </c>
      <c r="I394" s="13">
        <v>2</v>
      </c>
      <c r="J394" s="13">
        <v>0</v>
      </c>
      <c r="K394" s="13">
        <f t="shared" si="254"/>
        <v>0</v>
      </c>
      <c r="L394" s="13">
        <f t="shared" si="255"/>
        <v>0</v>
      </c>
      <c r="M394" s="13">
        <f t="shared" si="256"/>
        <v>0</v>
      </c>
      <c r="N394" s="13">
        <v>0.019</v>
      </c>
      <c r="O394" s="10" t="s">
        <v>851</v>
      </c>
      <c r="Z394" s="13">
        <f t="shared" si="257"/>
        <v>0</v>
      </c>
      <c r="AB394" s="13">
        <f t="shared" si="258"/>
        <v>0</v>
      </c>
      <c r="AC394" s="13">
        <f t="shared" si="259"/>
        <v>0</v>
      </c>
      <c r="AD394" s="13">
        <f t="shared" si="260"/>
        <v>0</v>
      </c>
      <c r="AE394" s="13">
        <f t="shared" si="261"/>
        <v>0</v>
      </c>
      <c r="AF394" s="13">
        <f t="shared" si="262"/>
        <v>0</v>
      </c>
      <c r="AG394" s="13">
        <f t="shared" si="263"/>
        <v>0</v>
      </c>
      <c r="AH394" s="13">
        <f t="shared" si="264"/>
        <v>0</v>
      </c>
      <c r="AI394" s="21" t="s">
        <v>1242</v>
      </c>
      <c r="AJ394" s="13">
        <f t="shared" si="265"/>
        <v>0</v>
      </c>
      <c r="AK394" s="13">
        <f t="shared" si="266"/>
        <v>0</v>
      </c>
      <c r="AL394" s="13">
        <f t="shared" si="267"/>
        <v>0</v>
      </c>
      <c r="AN394" s="13">
        <v>21</v>
      </c>
      <c r="AO394" s="13">
        <f>J394*1</f>
        <v>0</v>
      </c>
      <c r="AP394" s="13">
        <f>J394*(1-1)</f>
        <v>0</v>
      </c>
      <c r="AQ394" s="32" t="s">
        <v>1231</v>
      </c>
      <c r="AV394" s="13">
        <f t="shared" si="268"/>
        <v>0</v>
      </c>
      <c r="AW394" s="13">
        <f t="shared" si="269"/>
        <v>0</v>
      </c>
      <c r="AX394" s="13">
        <f t="shared" si="270"/>
        <v>0</v>
      </c>
      <c r="AY394" s="32" t="s">
        <v>1068</v>
      </c>
      <c r="AZ394" s="32" t="s">
        <v>141</v>
      </c>
      <c r="BA394" s="21" t="s">
        <v>129</v>
      </c>
      <c r="BC394" s="13">
        <f t="shared" si="271"/>
        <v>0</v>
      </c>
      <c r="BD394" s="13">
        <f t="shared" si="272"/>
        <v>0</v>
      </c>
      <c r="BE394" s="13">
        <v>0</v>
      </c>
      <c r="BF394" s="13">
        <f>394</f>
        <v>394</v>
      </c>
      <c r="BH394" s="13">
        <f t="shared" si="273"/>
        <v>0</v>
      </c>
      <c r="BI394" s="13">
        <f t="shared" si="274"/>
        <v>0</v>
      </c>
      <c r="BJ394" s="13">
        <f t="shared" si="275"/>
        <v>0</v>
      </c>
      <c r="BK394" s="13"/>
      <c r="BL394" s="13">
        <v>85</v>
      </c>
    </row>
    <row r="395" spans="1:64" ht="15" customHeight="1">
      <c r="A395" s="11" t="s">
        <v>932</v>
      </c>
      <c r="B395" s="48" t="s">
        <v>1242</v>
      </c>
      <c r="C395" s="48" t="s">
        <v>1375</v>
      </c>
      <c r="D395" s="61" t="s">
        <v>1024</v>
      </c>
      <c r="E395" s="61"/>
      <c r="F395" s="61"/>
      <c r="G395" s="61"/>
      <c r="H395" s="48" t="s">
        <v>299</v>
      </c>
      <c r="I395" s="13">
        <v>10</v>
      </c>
      <c r="J395" s="13">
        <v>0</v>
      </c>
      <c r="K395" s="13">
        <f t="shared" si="254"/>
        <v>0</v>
      </c>
      <c r="L395" s="13">
        <f t="shared" si="255"/>
        <v>0</v>
      </c>
      <c r="M395" s="13">
        <f t="shared" si="256"/>
        <v>0</v>
      </c>
      <c r="N395" s="13">
        <v>0.00041</v>
      </c>
      <c r="O395" s="10" t="s">
        <v>851</v>
      </c>
      <c r="Z395" s="13">
        <f t="shared" si="257"/>
        <v>0</v>
      </c>
      <c r="AB395" s="13">
        <f t="shared" si="258"/>
        <v>0</v>
      </c>
      <c r="AC395" s="13">
        <f t="shared" si="259"/>
        <v>0</v>
      </c>
      <c r="AD395" s="13">
        <f t="shared" si="260"/>
        <v>0</v>
      </c>
      <c r="AE395" s="13">
        <f t="shared" si="261"/>
        <v>0</v>
      </c>
      <c r="AF395" s="13">
        <f t="shared" si="262"/>
        <v>0</v>
      </c>
      <c r="AG395" s="13">
        <f t="shared" si="263"/>
        <v>0</v>
      </c>
      <c r="AH395" s="13">
        <f t="shared" si="264"/>
        <v>0</v>
      </c>
      <c r="AI395" s="21" t="s">
        <v>1242</v>
      </c>
      <c r="AJ395" s="13">
        <f t="shared" si="265"/>
        <v>0</v>
      </c>
      <c r="AK395" s="13">
        <f t="shared" si="266"/>
        <v>0</v>
      </c>
      <c r="AL395" s="13">
        <f t="shared" si="267"/>
        <v>0</v>
      </c>
      <c r="AN395" s="13">
        <v>21</v>
      </c>
      <c r="AO395" s="13">
        <f>J395*0.324068636010095</f>
        <v>0</v>
      </c>
      <c r="AP395" s="13">
        <f>J395*(1-0.324068636010095)</f>
        <v>0</v>
      </c>
      <c r="AQ395" s="32" t="s">
        <v>1231</v>
      </c>
      <c r="AV395" s="13">
        <f t="shared" si="268"/>
        <v>0</v>
      </c>
      <c r="AW395" s="13">
        <f t="shared" si="269"/>
        <v>0</v>
      </c>
      <c r="AX395" s="13">
        <f t="shared" si="270"/>
        <v>0</v>
      </c>
      <c r="AY395" s="32" t="s">
        <v>1068</v>
      </c>
      <c r="AZ395" s="32" t="s">
        <v>141</v>
      </c>
      <c r="BA395" s="21" t="s">
        <v>129</v>
      </c>
      <c r="BC395" s="13">
        <f t="shared" si="271"/>
        <v>0</v>
      </c>
      <c r="BD395" s="13">
        <f t="shared" si="272"/>
        <v>0</v>
      </c>
      <c r="BE395" s="13">
        <v>0</v>
      </c>
      <c r="BF395" s="13">
        <f>395</f>
        <v>395</v>
      </c>
      <c r="BH395" s="13">
        <f t="shared" si="273"/>
        <v>0</v>
      </c>
      <c r="BI395" s="13">
        <f t="shared" si="274"/>
        <v>0</v>
      </c>
      <c r="BJ395" s="13">
        <f t="shared" si="275"/>
        <v>0</v>
      </c>
      <c r="BK395" s="13"/>
      <c r="BL395" s="13">
        <v>85</v>
      </c>
    </row>
    <row r="396" spans="1:64" ht="15" customHeight="1">
      <c r="A396" s="11" t="s">
        <v>698</v>
      </c>
      <c r="B396" s="48" t="s">
        <v>1242</v>
      </c>
      <c r="C396" s="48" t="s">
        <v>1230</v>
      </c>
      <c r="D396" s="61" t="s">
        <v>1099</v>
      </c>
      <c r="E396" s="61"/>
      <c r="F396" s="61"/>
      <c r="G396" s="61"/>
      <c r="H396" s="48" t="s">
        <v>299</v>
      </c>
      <c r="I396" s="13">
        <v>6</v>
      </c>
      <c r="J396" s="13">
        <v>0</v>
      </c>
      <c r="K396" s="13">
        <f t="shared" si="254"/>
        <v>0</v>
      </c>
      <c r="L396" s="13">
        <f t="shared" si="255"/>
        <v>0</v>
      </c>
      <c r="M396" s="13">
        <f t="shared" si="256"/>
        <v>0</v>
      </c>
      <c r="N396" s="13">
        <v>0.0108</v>
      </c>
      <c r="O396" s="10" t="s">
        <v>851</v>
      </c>
      <c r="Z396" s="13">
        <f t="shared" si="257"/>
        <v>0</v>
      </c>
      <c r="AB396" s="13">
        <f t="shared" si="258"/>
        <v>0</v>
      </c>
      <c r="AC396" s="13">
        <f t="shared" si="259"/>
        <v>0</v>
      </c>
      <c r="AD396" s="13">
        <f t="shared" si="260"/>
        <v>0</v>
      </c>
      <c r="AE396" s="13">
        <f t="shared" si="261"/>
        <v>0</v>
      </c>
      <c r="AF396" s="13">
        <f t="shared" si="262"/>
        <v>0</v>
      </c>
      <c r="AG396" s="13">
        <f t="shared" si="263"/>
        <v>0</v>
      </c>
      <c r="AH396" s="13">
        <f t="shared" si="264"/>
        <v>0</v>
      </c>
      <c r="AI396" s="21" t="s">
        <v>1242</v>
      </c>
      <c r="AJ396" s="13">
        <f t="shared" si="265"/>
        <v>0</v>
      </c>
      <c r="AK396" s="13">
        <f t="shared" si="266"/>
        <v>0</v>
      </c>
      <c r="AL396" s="13">
        <f t="shared" si="267"/>
        <v>0</v>
      </c>
      <c r="AN396" s="13">
        <v>21</v>
      </c>
      <c r="AO396" s="13">
        <f>J396*1</f>
        <v>0</v>
      </c>
      <c r="AP396" s="13">
        <f>J396*(1-1)</f>
        <v>0</v>
      </c>
      <c r="AQ396" s="32" t="s">
        <v>1231</v>
      </c>
      <c r="AV396" s="13">
        <f t="shared" si="268"/>
        <v>0</v>
      </c>
      <c r="AW396" s="13">
        <f t="shared" si="269"/>
        <v>0</v>
      </c>
      <c r="AX396" s="13">
        <f t="shared" si="270"/>
        <v>0</v>
      </c>
      <c r="AY396" s="32" t="s">
        <v>1068</v>
      </c>
      <c r="AZ396" s="32" t="s">
        <v>141</v>
      </c>
      <c r="BA396" s="21" t="s">
        <v>129</v>
      </c>
      <c r="BC396" s="13">
        <f t="shared" si="271"/>
        <v>0</v>
      </c>
      <c r="BD396" s="13">
        <f t="shared" si="272"/>
        <v>0</v>
      </c>
      <c r="BE396" s="13">
        <v>0</v>
      </c>
      <c r="BF396" s="13">
        <f>396</f>
        <v>396</v>
      </c>
      <c r="BH396" s="13">
        <f t="shared" si="273"/>
        <v>0</v>
      </c>
      <c r="BI396" s="13">
        <f t="shared" si="274"/>
        <v>0</v>
      </c>
      <c r="BJ396" s="13">
        <f t="shared" si="275"/>
        <v>0</v>
      </c>
      <c r="BK396" s="13"/>
      <c r="BL396" s="13">
        <v>85</v>
      </c>
    </row>
    <row r="397" spans="1:64" ht="15" customHeight="1">
      <c r="A397" s="11" t="s">
        <v>1054</v>
      </c>
      <c r="B397" s="48" t="s">
        <v>1242</v>
      </c>
      <c r="C397" s="48" t="s">
        <v>1193</v>
      </c>
      <c r="D397" s="61" t="s">
        <v>892</v>
      </c>
      <c r="E397" s="61"/>
      <c r="F397" s="61"/>
      <c r="G397" s="61"/>
      <c r="H397" s="48" t="s">
        <v>299</v>
      </c>
      <c r="I397" s="13">
        <v>1</v>
      </c>
      <c r="J397" s="13">
        <v>0</v>
      </c>
      <c r="K397" s="13">
        <f t="shared" si="254"/>
        <v>0</v>
      </c>
      <c r="L397" s="13">
        <f t="shared" si="255"/>
        <v>0</v>
      </c>
      <c r="M397" s="13">
        <f t="shared" si="256"/>
        <v>0</v>
      </c>
      <c r="N397" s="13">
        <v>0.0126</v>
      </c>
      <c r="O397" s="10" t="s">
        <v>851</v>
      </c>
      <c r="Z397" s="13">
        <f t="shared" si="257"/>
        <v>0</v>
      </c>
      <c r="AB397" s="13">
        <f t="shared" si="258"/>
        <v>0</v>
      </c>
      <c r="AC397" s="13">
        <f t="shared" si="259"/>
        <v>0</v>
      </c>
      <c r="AD397" s="13">
        <f t="shared" si="260"/>
        <v>0</v>
      </c>
      <c r="AE397" s="13">
        <f t="shared" si="261"/>
        <v>0</v>
      </c>
      <c r="AF397" s="13">
        <f t="shared" si="262"/>
        <v>0</v>
      </c>
      <c r="AG397" s="13">
        <f t="shared" si="263"/>
        <v>0</v>
      </c>
      <c r="AH397" s="13">
        <f t="shared" si="264"/>
        <v>0</v>
      </c>
      <c r="AI397" s="21" t="s">
        <v>1242</v>
      </c>
      <c r="AJ397" s="13">
        <f t="shared" si="265"/>
        <v>0</v>
      </c>
      <c r="AK397" s="13">
        <f t="shared" si="266"/>
        <v>0</v>
      </c>
      <c r="AL397" s="13">
        <f t="shared" si="267"/>
        <v>0</v>
      </c>
      <c r="AN397" s="13">
        <v>21</v>
      </c>
      <c r="AO397" s="13">
        <f>J397*1</f>
        <v>0</v>
      </c>
      <c r="AP397" s="13">
        <f>J397*(1-1)</f>
        <v>0</v>
      </c>
      <c r="AQ397" s="32" t="s">
        <v>1231</v>
      </c>
      <c r="AV397" s="13">
        <f t="shared" si="268"/>
        <v>0</v>
      </c>
      <c r="AW397" s="13">
        <f t="shared" si="269"/>
        <v>0</v>
      </c>
      <c r="AX397" s="13">
        <f t="shared" si="270"/>
        <v>0</v>
      </c>
      <c r="AY397" s="32" t="s">
        <v>1068</v>
      </c>
      <c r="AZ397" s="32" t="s">
        <v>141</v>
      </c>
      <c r="BA397" s="21" t="s">
        <v>129</v>
      </c>
      <c r="BC397" s="13">
        <f t="shared" si="271"/>
        <v>0</v>
      </c>
      <c r="BD397" s="13">
        <f t="shared" si="272"/>
        <v>0</v>
      </c>
      <c r="BE397" s="13">
        <v>0</v>
      </c>
      <c r="BF397" s="13">
        <f>397</f>
        <v>397</v>
      </c>
      <c r="BH397" s="13">
        <f t="shared" si="273"/>
        <v>0</v>
      </c>
      <c r="BI397" s="13">
        <f t="shared" si="274"/>
        <v>0</v>
      </c>
      <c r="BJ397" s="13">
        <f t="shared" si="275"/>
        <v>0</v>
      </c>
      <c r="BK397" s="13"/>
      <c r="BL397" s="13">
        <v>85</v>
      </c>
    </row>
    <row r="398" spans="1:64" ht="15" customHeight="1">
      <c r="A398" s="11" t="s">
        <v>1366</v>
      </c>
      <c r="B398" s="48" t="s">
        <v>1242</v>
      </c>
      <c r="C398" s="48" t="s">
        <v>602</v>
      </c>
      <c r="D398" s="61" t="s">
        <v>775</v>
      </c>
      <c r="E398" s="61"/>
      <c r="F398" s="61"/>
      <c r="G398" s="61"/>
      <c r="H398" s="48" t="s">
        <v>299</v>
      </c>
      <c r="I398" s="13">
        <v>3</v>
      </c>
      <c r="J398" s="13">
        <v>0</v>
      </c>
      <c r="K398" s="13">
        <f t="shared" si="254"/>
        <v>0</v>
      </c>
      <c r="L398" s="13">
        <f t="shared" si="255"/>
        <v>0</v>
      </c>
      <c r="M398" s="13">
        <f t="shared" si="256"/>
        <v>0</v>
      </c>
      <c r="N398" s="13">
        <v>0.0125</v>
      </c>
      <c r="O398" s="10" t="s">
        <v>851</v>
      </c>
      <c r="Z398" s="13">
        <f t="shared" si="257"/>
        <v>0</v>
      </c>
      <c r="AB398" s="13">
        <f t="shared" si="258"/>
        <v>0</v>
      </c>
      <c r="AC398" s="13">
        <f t="shared" si="259"/>
        <v>0</v>
      </c>
      <c r="AD398" s="13">
        <f t="shared" si="260"/>
        <v>0</v>
      </c>
      <c r="AE398" s="13">
        <f t="shared" si="261"/>
        <v>0</v>
      </c>
      <c r="AF398" s="13">
        <f t="shared" si="262"/>
        <v>0</v>
      </c>
      <c r="AG398" s="13">
        <f t="shared" si="263"/>
        <v>0</v>
      </c>
      <c r="AH398" s="13">
        <f t="shared" si="264"/>
        <v>0</v>
      </c>
      <c r="AI398" s="21" t="s">
        <v>1242</v>
      </c>
      <c r="AJ398" s="13">
        <f t="shared" si="265"/>
        <v>0</v>
      </c>
      <c r="AK398" s="13">
        <f t="shared" si="266"/>
        <v>0</v>
      </c>
      <c r="AL398" s="13">
        <f t="shared" si="267"/>
        <v>0</v>
      </c>
      <c r="AN398" s="13">
        <v>21</v>
      </c>
      <c r="AO398" s="13">
        <f>J398*1</f>
        <v>0</v>
      </c>
      <c r="AP398" s="13">
        <f>J398*(1-1)</f>
        <v>0</v>
      </c>
      <c r="AQ398" s="32" t="s">
        <v>1231</v>
      </c>
      <c r="AV398" s="13">
        <f t="shared" si="268"/>
        <v>0</v>
      </c>
      <c r="AW398" s="13">
        <f t="shared" si="269"/>
        <v>0</v>
      </c>
      <c r="AX398" s="13">
        <f t="shared" si="270"/>
        <v>0</v>
      </c>
      <c r="AY398" s="32" t="s">
        <v>1068</v>
      </c>
      <c r="AZ398" s="32" t="s">
        <v>141</v>
      </c>
      <c r="BA398" s="21" t="s">
        <v>129</v>
      </c>
      <c r="BC398" s="13">
        <f t="shared" si="271"/>
        <v>0</v>
      </c>
      <c r="BD398" s="13">
        <f t="shared" si="272"/>
        <v>0</v>
      </c>
      <c r="BE398" s="13">
        <v>0</v>
      </c>
      <c r="BF398" s="13">
        <f>398</f>
        <v>398</v>
      </c>
      <c r="BH398" s="13">
        <f t="shared" si="273"/>
        <v>0</v>
      </c>
      <c r="BI398" s="13">
        <f t="shared" si="274"/>
        <v>0</v>
      </c>
      <c r="BJ398" s="13">
        <f t="shared" si="275"/>
        <v>0</v>
      </c>
      <c r="BK398" s="13"/>
      <c r="BL398" s="13">
        <v>85</v>
      </c>
    </row>
    <row r="399" spans="1:47" ht="15" customHeight="1">
      <c r="A399" s="30" t="s">
        <v>862</v>
      </c>
      <c r="B399" s="18" t="s">
        <v>1242</v>
      </c>
      <c r="C399" s="18" t="s">
        <v>57</v>
      </c>
      <c r="D399" s="73" t="s">
        <v>93</v>
      </c>
      <c r="E399" s="73"/>
      <c r="F399" s="73"/>
      <c r="G399" s="73"/>
      <c r="H399" s="15" t="s">
        <v>1148</v>
      </c>
      <c r="I399" s="15" t="s">
        <v>1148</v>
      </c>
      <c r="J399" s="15" t="s">
        <v>1148</v>
      </c>
      <c r="K399" s="56">
        <f>SUM(K400:K405)</f>
        <v>0</v>
      </c>
      <c r="L399" s="56">
        <f>SUM(L400:L405)</f>
        <v>0</v>
      </c>
      <c r="M399" s="56">
        <f>SUM(M400:M405)</f>
        <v>0</v>
      </c>
      <c r="N399" s="21" t="s">
        <v>862</v>
      </c>
      <c r="O399" s="47" t="s">
        <v>862</v>
      </c>
      <c r="AI399" s="21" t="s">
        <v>1242</v>
      </c>
      <c r="AS399" s="56">
        <f>SUM(AJ400:AJ405)</f>
        <v>0</v>
      </c>
      <c r="AT399" s="56">
        <f>SUM(AK400:AK405)</f>
        <v>0</v>
      </c>
      <c r="AU399" s="56">
        <f>SUM(AL400:AL405)</f>
        <v>0</v>
      </c>
    </row>
    <row r="400" spans="1:64" ht="15" customHeight="1">
      <c r="A400" s="11" t="s">
        <v>696</v>
      </c>
      <c r="B400" s="48" t="s">
        <v>1242</v>
      </c>
      <c r="C400" s="48" t="s">
        <v>824</v>
      </c>
      <c r="D400" s="61" t="s">
        <v>784</v>
      </c>
      <c r="E400" s="61"/>
      <c r="F400" s="61"/>
      <c r="G400" s="61"/>
      <c r="H400" s="48" t="s">
        <v>1018</v>
      </c>
      <c r="I400" s="13">
        <v>439.1</v>
      </c>
      <c r="J400" s="13">
        <v>0</v>
      </c>
      <c r="K400" s="13">
        <f aca="true" t="shared" si="276" ref="K400:K405">I400*AO400</f>
        <v>0</v>
      </c>
      <c r="L400" s="13">
        <f aca="true" t="shared" si="277" ref="L400:L405">I400*AP400</f>
        <v>0</v>
      </c>
      <c r="M400" s="13">
        <f aca="true" t="shared" si="278" ref="M400:M405">I400*J400</f>
        <v>0</v>
      </c>
      <c r="N400" s="13">
        <v>0</v>
      </c>
      <c r="O400" s="10" t="s">
        <v>851</v>
      </c>
      <c r="Z400" s="13">
        <f aca="true" t="shared" si="279" ref="Z400:Z405">IF(AQ400="5",BJ400,0)</f>
        <v>0</v>
      </c>
      <c r="AB400" s="13">
        <f aca="true" t="shared" si="280" ref="AB400:AB405">IF(AQ400="1",BH400,0)</f>
        <v>0</v>
      </c>
      <c r="AC400" s="13">
        <f aca="true" t="shared" si="281" ref="AC400:AC405">IF(AQ400="1",BI400,0)</f>
        <v>0</v>
      </c>
      <c r="AD400" s="13">
        <f aca="true" t="shared" si="282" ref="AD400:AD405">IF(AQ400="7",BH400,0)</f>
        <v>0</v>
      </c>
      <c r="AE400" s="13">
        <f aca="true" t="shared" si="283" ref="AE400:AE405">IF(AQ400="7",BI400,0)</f>
        <v>0</v>
      </c>
      <c r="AF400" s="13">
        <f aca="true" t="shared" si="284" ref="AF400:AF405">IF(AQ400="2",BH400,0)</f>
        <v>0</v>
      </c>
      <c r="AG400" s="13">
        <f aca="true" t="shared" si="285" ref="AG400:AG405">IF(AQ400="2",BI400,0)</f>
        <v>0</v>
      </c>
      <c r="AH400" s="13">
        <f aca="true" t="shared" si="286" ref="AH400:AH405">IF(AQ400="0",BJ400,0)</f>
        <v>0</v>
      </c>
      <c r="AI400" s="21" t="s">
        <v>1242</v>
      </c>
      <c r="AJ400" s="13">
        <f aca="true" t="shared" si="287" ref="AJ400:AJ405">IF(AN400=0,M400,0)</f>
        <v>0</v>
      </c>
      <c r="AK400" s="13">
        <f aca="true" t="shared" si="288" ref="AK400:AK405">IF(AN400=15,M400,0)</f>
        <v>0</v>
      </c>
      <c r="AL400" s="13">
        <f aca="true" t="shared" si="289" ref="AL400:AL405">IF(AN400=21,M400,0)</f>
        <v>0</v>
      </c>
      <c r="AN400" s="13">
        <v>21</v>
      </c>
      <c r="AO400" s="13">
        <f>J400*0</f>
        <v>0</v>
      </c>
      <c r="AP400" s="13">
        <f>J400*(1-0)</f>
        <v>0</v>
      </c>
      <c r="AQ400" s="32" t="s">
        <v>1231</v>
      </c>
      <c r="AV400" s="13">
        <f aca="true" t="shared" si="290" ref="AV400:AV405">AW400+AX400</f>
        <v>0</v>
      </c>
      <c r="AW400" s="13">
        <f aca="true" t="shared" si="291" ref="AW400:AW405">I400*AO400</f>
        <v>0</v>
      </c>
      <c r="AX400" s="13">
        <f aca="true" t="shared" si="292" ref="AX400:AX405">I400*AP400</f>
        <v>0</v>
      </c>
      <c r="AY400" s="32" t="s">
        <v>81</v>
      </c>
      <c r="AZ400" s="32" t="s">
        <v>141</v>
      </c>
      <c r="BA400" s="21" t="s">
        <v>129</v>
      </c>
      <c r="BC400" s="13">
        <f aca="true" t="shared" si="293" ref="BC400:BC405">AW400+AX400</f>
        <v>0</v>
      </c>
      <c r="BD400" s="13">
        <f aca="true" t="shared" si="294" ref="BD400:BD405">J400/(100-BE400)*100</f>
        <v>0</v>
      </c>
      <c r="BE400" s="13">
        <v>0</v>
      </c>
      <c r="BF400" s="13">
        <f>400</f>
        <v>400</v>
      </c>
      <c r="BH400" s="13">
        <f aca="true" t="shared" si="295" ref="BH400:BH405">I400*AO400</f>
        <v>0</v>
      </c>
      <c r="BI400" s="13">
        <f aca="true" t="shared" si="296" ref="BI400:BI405">I400*AP400</f>
        <v>0</v>
      </c>
      <c r="BJ400" s="13">
        <f aca="true" t="shared" si="297" ref="BJ400:BJ405">I400*J400</f>
        <v>0</v>
      </c>
      <c r="BK400" s="13"/>
      <c r="BL400" s="13">
        <v>87</v>
      </c>
    </row>
    <row r="401" spans="1:64" ht="15" customHeight="1">
      <c r="A401" s="11" t="s">
        <v>1337</v>
      </c>
      <c r="B401" s="48" t="s">
        <v>1242</v>
      </c>
      <c r="C401" s="48" t="s">
        <v>1177</v>
      </c>
      <c r="D401" s="61" t="s">
        <v>1345</v>
      </c>
      <c r="E401" s="61"/>
      <c r="F401" s="61"/>
      <c r="G401" s="61"/>
      <c r="H401" s="48" t="s">
        <v>1018</v>
      </c>
      <c r="I401" s="13">
        <v>443.491</v>
      </c>
      <c r="J401" s="13">
        <v>0</v>
      </c>
      <c r="K401" s="13">
        <f t="shared" si="276"/>
        <v>0</v>
      </c>
      <c r="L401" s="13">
        <f t="shared" si="277"/>
        <v>0</v>
      </c>
      <c r="M401" s="13">
        <f t="shared" si="278"/>
        <v>0</v>
      </c>
      <c r="N401" s="13">
        <v>0.00316</v>
      </c>
      <c r="O401" s="10" t="s">
        <v>851</v>
      </c>
      <c r="Z401" s="13">
        <f t="shared" si="279"/>
        <v>0</v>
      </c>
      <c r="AB401" s="13">
        <f t="shared" si="280"/>
        <v>0</v>
      </c>
      <c r="AC401" s="13">
        <f t="shared" si="281"/>
        <v>0</v>
      </c>
      <c r="AD401" s="13">
        <f t="shared" si="282"/>
        <v>0</v>
      </c>
      <c r="AE401" s="13">
        <f t="shared" si="283"/>
        <v>0</v>
      </c>
      <c r="AF401" s="13">
        <f t="shared" si="284"/>
        <v>0</v>
      </c>
      <c r="AG401" s="13">
        <f t="shared" si="285"/>
        <v>0</v>
      </c>
      <c r="AH401" s="13">
        <f t="shared" si="286"/>
        <v>0</v>
      </c>
      <c r="AI401" s="21" t="s">
        <v>1242</v>
      </c>
      <c r="AJ401" s="13">
        <f t="shared" si="287"/>
        <v>0</v>
      </c>
      <c r="AK401" s="13">
        <f t="shared" si="288"/>
        <v>0</v>
      </c>
      <c r="AL401" s="13">
        <f t="shared" si="289"/>
        <v>0</v>
      </c>
      <c r="AN401" s="13">
        <v>21</v>
      </c>
      <c r="AO401" s="13">
        <f>J401*1</f>
        <v>0</v>
      </c>
      <c r="AP401" s="13">
        <f>J401*(1-1)</f>
        <v>0</v>
      </c>
      <c r="AQ401" s="32" t="s">
        <v>1231</v>
      </c>
      <c r="AV401" s="13">
        <f t="shared" si="290"/>
        <v>0</v>
      </c>
      <c r="AW401" s="13">
        <f t="shared" si="291"/>
        <v>0</v>
      </c>
      <c r="AX401" s="13">
        <f t="shared" si="292"/>
        <v>0</v>
      </c>
      <c r="AY401" s="32" t="s">
        <v>81</v>
      </c>
      <c r="AZ401" s="32" t="s">
        <v>141</v>
      </c>
      <c r="BA401" s="21" t="s">
        <v>129</v>
      </c>
      <c r="BC401" s="13">
        <f t="shared" si="293"/>
        <v>0</v>
      </c>
      <c r="BD401" s="13">
        <f t="shared" si="294"/>
        <v>0</v>
      </c>
      <c r="BE401" s="13">
        <v>0</v>
      </c>
      <c r="BF401" s="13">
        <f>401</f>
        <v>401</v>
      </c>
      <c r="BH401" s="13">
        <f t="shared" si="295"/>
        <v>0</v>
      </c>
      <c r="BI401" s="13">
        <f t="shared" si="296"/>
        <v>0</v>
      </c>
      <c r="BJ401" s="13">
        <f t="shared" si="297"/>
        <v>0</v>
      </c>
      <c r="BK401" s="13"/>
      <c r="BL401" s="13">
        <v>87</v>
      </c>
    </row>
    <row r="402" spans="1:64" ht="15" customHeight="1">
      <c r="A402" s="11" t="s">
        <v>249</v>
      </c>
      <c r="B402" s="48" t="s">
        <v>1242</v>
      </c>
      <c r="C402" s="48" t="s">
        <v>339</v>
      </c>
      <c r="D402" s="61" t="s">
        <v>177</v>
      </c>
      <c r="E402" s="61"/>
      <c r="F402" s="61"/>
      <c r="G402" s="61"/>
      <c r="H402" s="48" t="s">
        <v>299</v>
      </c>
      <c r="I402" s="13">
        <v>12</v>
      </c>
      <c r="J402" s="13">
        <v>0</v>
      </c>
      <c r="K402" s="13">
        <f t="shared" si="276"/>
        <v>0</v>
      </c>
      <c r="L402" s="13">
        <f t="shared" si="277"/>
        <v>0</v>
      </c>
      <c r="M402" s="13">
        <f t="shared" si="278"/>
        <v>0</v>
      </c>
      <c r="N402" s="13">
        <v>0</v>
      </c>
      <c r="O402" s="10" t="s">
        <v>851</v>
      </c>
      <c r="Z402" s="13">
        <f t="shared" si="279"/>
        <v>0</v>
      </c>
      <c r="AB402" s="13">
        <f t="shared" si="280"/>
        <v>0</v>
      </c>
      <c r="AC402" s="13">
        <f t="shared" si="281"/>
        <v>0</v>
      </c>
      <c r="AD402" s="13">
        <f t="shared" si="282"/>
        <v>0</v>
      </c>
      <c r="AE402" s="13">
        <f t="shared" si="283"/>
        <v>0</v>
      </c>
      <c r="AF402" s="13">
        <f t="shared" si="284"/>
        <v>0</v>
      </c>
      <c r="AG402" s="13">
        <f t="shared" si="285"/>
        <v>0</v>
      </c>
      <c r="AH402" s="13">
        <f t="shared" si="286"/>
        <v>0</v>
      </c>
      <c r="AI402" s="21" t="s">
        <v>1242</v>
      </c>
      <c r="AJ402" s="13">
        <f t="shared" si="287"/>
        <v>0</v>
      </c>
      <c r="AK402" s="13">
        <f t="shared" si="288"/>
        <v>0</v>
      </c>
      <c r="AL402" s="13">
        <f t="shared" si="289"/>
        <v>0</v>
      </c>
      <c r="AN402" s="13">
        <v>21</v>
      </c>
      <c r="AO402" s="13">
        <f>J402*0</f>
        <v>0</v>
      </c>
      <c r="AP402" s="13">
        <f>J402*(1-0)</f>
        <v>0</v>
      </c>
      <c r="AQ402" s="32" t="s">
        <v>1231</v>
      </c>
      <c r="AV402" s="13">
        <f t="shared" si="290"/>
        <v>0</v>
      </c>
      <c r="AW402" s="13">
        <f t="shared" si="291"/>
        <v>0</v>
      </c>
      <c r="AX402" s="13">
        <f t="shared" si="292"/>
        <v>0</v>
      </c>
      <c r="AY402" s="32" t="s">
        <v>81</v>
      </c>
      <c r="AZ402" s="32" t="s">
        <v>141</v>
      </c>
      <c r="BA402" s="21" t="s">
        <v>129</v>
      </c>
      <c r="BC402" s="13">
        <f t="shared" si="293"/>
        <v>0</v>
      </c>
      <c r="BD402" s="13">
        <f t="shared" si="294"/>
        <v>0</v>
      </c>
      <c r="BE402" s="13">
        <v>0</v>
      </c>
      <c r="BF402" s="13">
        <f>402</f>
        <v>402</v>
      </c>
      <c r="BH402" s="13">
        <f t="shared" si="295"/>
        <v>0</v>
      </c>
      <c r="BI402" s="13">
        <f t="shared" si="296"/>
        <v>0</v>
      </c>
      <c r="BJ402" s="13">
        <f t="shared" si="297"/>
        <v>0</v>
      </c>
      <c r="BK402" s="13"/>
      <c r="BL402" s="13">
        <v>87</v>
      </c>
    </row>
    <row r="403" spans="1:64" ht="15" customHeight="1">
      <c r="A403" s="11" t="s">
        <v>739</v>
      </c>
      <c r="B403" s="48" t="s">
        <v>1242</v>
      </c>
      <c r="C403" s="48" t="s">
        <v>159</v>
      </c>
      <c r="D403" s="61" t="s">
        <v>584</v>
      </c>
      <c r="E403" s="61"/>
      <c r="F403" s="61"/>
      <c r="G403" s="61"/>
      <c r="H403" s="48" t="s">
        <v>299</v>
      </c>
      <c r="I403" s="13">
        <v>2</v>
      </c>
      <c r="J403" s="13">
        <v>0</v>
      </c>
      <c r="K403" s="13">
        <f t="shared" si="276"/>
        <v>0</v>
      </c>
      <c r="L403" s="13">
        <f t="shared" si="277"/>
        <v>0</v>
      </c>
      <c r="M403" s="13">
        <f t="shared" si="278"/>
        <v>0</v>
      </c>
      <c r="N403" s="13">
        <v>0.00105</v>
      </c>
      <c r="O403" s="10" t="s">
        <v>851</v>
      </c>
      <c r="Z403" s="13">
        <f t="shared" si="279"/>
        <v>0</v>
      </c>
      <c r="AB403" s="13">
        <f t="shared" si="280"/>
        <v>0</v>
      </c>
      <c r="AC403" s="13">
        <f t="shared" si="281"/>
        <v>0</v>
      </c>
      <c r="AD403" s="13">
        <f t="shared" si="282"/>
        <v>0</v>
      </c>
      <c r="AE403" s="13">
        <f t="shared" si="283"/>
        <v>0</v>
      </c>
      <c r="AF403" s="13">
        <f t="shared" si="284"/>
        <v>0</v>
      </c>
      <c r="AG403" s="13">
        <f t="shared" si="285"/>
        <v>0</v>
      </c>
      <c r="AH403" s="13">
        <f t="shared" si="286"/>
        <v>0</v>
      </c>
      <c r="AI403" s="21" t="s">
        <v>1242</v>
      </c>
      <c r="AJ403" s="13">
        <f t="shared" si="287"/>
        <v>0</v>
      </c>
      <c r="AK403" s="13">
        <f t="shared" si="288"/>
        <v>0</v>
      </c>
      <c r="AL403" s="13">
        <f t="shared" si="289"/>
        <v>0</v>
      </c>
      <c r="AN403" s="13">
        <v>21</v>
      </c>
      <c r="AO403" s="13">
        <f>J403*1</f>
        <v>0</v>
      </c>
      <c r="AP403" s="13">
        <f>J403*(1-1)</f>
        <v>0</v>
      </c>
      <c r="AQ403" s="32" t="s">
        <v>1231</v>
      </c>
      <c r="AV403" s="13">
        <f t="shared" si="290"/>
        <v>0</v>
      </c>
      <c r="AW403" s="13">
        <f t="shared" si="291"/>
        <v>0</v>
      </c>
      <c r="AX403" s="13">
        <f t="shared" si="292"/>
        <v>0</v>
      </c>
      <c r="AY403" s="32" t="s">
        <v>81</v>
      </c>
      <c r="AZ403" s="32" t="s">
        <v>141</v>
      </c>
      <c r="BA403" s="21" t="s">
        <v>129</v>
      </c>
      <c r="BC403" s="13">
        <f t="shared" si="293"/>
        <v>0</v>
      </c>
      <c r="BD403" s="13">
        <f t="shared" si="294"/>
        <v>0</v>
      </c>
      <c r="BE403" s="13">
        <v>0</v>
      </c>
      <c r="BF403" s="13">
        <f>403</f>
        <v>403</v>
      </c>
      <c r="BH403" s="13">
        <f t="shared" si="295"/>
        <v>0</v>
      </c>
      <c r="BI403" s="13">
        <f t="shared" si="296"/>
        <v>0</v>
      </c>
      <c r="BJ403" s="13">
        <f t="shared" si="297"/>
        <v>0</v>
      </c>
      <c r="BK403" s="13"/>
      <c r="BL403" s="13">
        <v>87</v>
      </c>
    </row>
    <row r="404" spans="1:64" ht="15" customHeight="1">
      <c r="A404" s="11" t="s">
        <v>928</v>
      </c>
      <c r="B404" s="48" t="s">
        <v>1242</v>
      </c>
      <c r="C404" s="48" t="s">
        <v>792</v>
      </c>
      <c r="D404" s="61" t="s">
        <v>682</v>
      </c>
      <c r="E404" s="61"/>
      <c r="F404" s="61"/>
      <c r="G404" s="61"/>
      <c r="H404" s="48" t="s">
        <v>299</v>
      </c>
      <c r="I404" s="13">
        <v>2</v>
      </c>
      <c r="J404" s="13">
        <v>0</v>
      </c>
      <c r="K404" s="13">
        <f t="shared" si="276"/>
        <v>0</v>
      </c>
      <c r="L404" s="13">
        <f t="shared" si="277"/>
        <v>0</v>
      </c>
      <c r="M404" s="13">
        <f t="shared" si="278"/>
        <v>0</v>
      </c>
      <c r="N404" s="13">
        <v>0.00126</v>
      </c>
      <c r="O404" s="10" t="s">
        <v>851</v>
      </c>
      <c r="Z404" s="13">
        <f t="shared" si="279"/>
        <v>0</v>
      </c>
      <c r="AB404" s="13">
        <f t="shared" si="280"/>
        <v>0</v>
      </c>
      <c r="AC404" s="13">
        <f t="shared" si="281"/>
        <v>0</v>
      </c>
      <c r="AD404" s="13">
        <f t="shared" si="282"/>
        <v>0</v>
      </c>
      <c r="AE404" s="13">
        <f t="shared" si="283"/>
        <v>0</v>
      </c>
      <c r="AF404" s="13">
        <f t="shared" si="284"/>
        <v>0</v>
      </c>
      <c r="AG404" s="13">
        <f t="shared" si="285"/>
        <v>0</v>
      </c>
      <c r="AH404" s="13">
        <f t="shared" si="286"/>
        <v>0</v>
      </c>
      <c r="AI404" s="21" t="s">
        <v>1242</v>
      </c>
      <c r="AJ404" s="13">
        <f t="shared" si="287"/>
        <v>0</v>
      </c>
      <c r="AK404" s="13">
        <f t="shared" si="288"/>
        <v>0</v>
      </c>
      <c r="AL404" s="13">
        <f t="shared" si="289"/>
        <v>0</v>
      </c>
      <c r="AN404" s="13">
        <v>21</v>
      </c>
      <c r="AO404" s="13">
        <f>J404*1</f>
        <v>0</v>
      </c>
      <c r="AP404" s="13">
        <f>J404*(1-1)</f>
        <v>0</v>
      </c>
      <c r="AQ404" s="32" t="s">
        <v>1231</v>
      </c>
      <c r="AV404" s="13">
        <f t="shared" si="290"/>
        <v>0</v>
      </c>
      <c r="AW404" s="13">
        <f t="shared" si="291"/>
        <v>0</v>
      </c>
      <c r="AX404" s="13">
        <f t="shared" si="292"/>
        <v>0</v>
      </c>
      <c r="AY404" s="32" t="s">
        <v>81</v>
      </c>
      <c r="AZ404" s="32" t="s">
        <v>141</v>
      </c>
      <c r="BA404" s="21" t="s">
        <v>129</v>
      </c>
      <c r="BC404" s="13">
        <f t="shared" si="293"/>
        <v>0</v>
      </c>
      <c r="BD404" s="13">
        <f t="shared" si="294"/>
        <v>0</v>
      </c>
      <c r="BE404" s="13">
        <v>0</v>
      </c>
      <c r="BF404" s="13">
        <f>404</f>
        <v>404</v>
      </c>
      <c r="BH404" s="13">
        <f t="shared" si="295"/>
        <v>0</v>
      </c>
      <c r="BI404" s="13">
        <f t="shared" si="296"/>
        <v>0</v>
      </c>
      <c r="BJ404" s="13">
        <f t="shared" si="297"/>
        <v>0</v>
      </c>
      <c r="BK404" s="13"/>
      <c r="BL404" s="13">
        <v>87</v>
      </c>
    </row>
    <row r="405" spans="1:64" ht="15" customHeight="1">
      <c r="A405" s="11" t="s">
        <v>202</v>
      </c>
      <c r="B405" s="48" t="s">
        <v>1242</v>
      </c>
      <c r="C405" s="48" t="s">
        <v>233</v>
      </c>
      <c r="D405" s="61" t="s">
        <v>525</v>
      </c>
      <c r="E405" s="61"/>
      <c r="F405" s="61"/>
      <c r="G405" s="61"/>
      <c r="H405" s="48" t="s">
        <v>299</v>
      </c>
      <c r="I405" s="13">
        <v>2</v>
      </c>
      <c r="J405" s="13">
        <v>0</v>
      </c>
      <c r="K405" s="13">
        <f t="shared" si="276"/>
        <v>0</v>
      </c>
      <c r="L405" s="13">
        <f t="shared" si="277"/>
        <v>0</v>
      </c>
      <c r="M405" s="13">
        <f t="shared" si="278"/>
        <v>0</v>
      </c>
      <c r="N405" s="13">
        <v>0.00115</v>
      </c>
      <c r="O405" s="10" t="s">
        <v>851</v>
      </c>
      <c r="Z405" s="13">
        <f t="shared" si="279"/>
        <v>0</v>
      </c>
      <c r="AB405" s="13">
        <f t="shared" si="280"/>
        <v>0</v>
      </c>
      <c r="AC405" s="13">
        <f t="shared" si="281"/>
        <v>0</v>
      </c>
      <c r="AD405" s="13">
        <f t="shared" si="282"/>
        <v>0</v>
      </c>
      <c r="AE405" s="13">
        <f t="shared" si="283"/>
        <v>0</v>
      </c>
      <c r="AF405" s="13">
        <f t="shared" si="284"/>
        <v>0</v>
      </c>
      <c r="AG405" s="13">
        <f t="shared" si="285"/>
        <v>0</v>
      </c>
      <c r="AH405" s="13">
        <f t="shared" si="286"/>
        <v>0</v>
      </c>
      <c r="AI405" s="21" t="s">
        <v>1242</v>
      </c>
      <c r="AJ405" s="13">
        <f t="shared" si="287"/>
        <v>0</v>
      </c>
      <c r="AK405" s="13">
        <f t="shared" si="288"/>
        <v>0</v>
      </c>
      <c r="AL405" s="13">
        <f t="shared" si="289"/>
        <v>0</v>
      </c>
      <c r="AN405" s="13">
        <v>21</v>
      </c>
      <c r="AO405" s="13">
        <f>J405*1</f>
        <v>0</v>
      </c>
      <c r="AP405" s="13">
        <f>J405*(1-1)</f>
        <v>0</v>
      </c>
      <c r="AQ405" s="32" t="s">
        <v>1231</v>
      </c>
      <c r="AV405" s="13">
        <f t="shared" si="290"/>
        <v>0</v>
      </c>
      <c r="AW405" s="13">
        <f t="shared" si="291"/>
        <v>0</v>
      </c>
      <c r="AX405" s="13">
        <f t="shared" si="292"/>
        <v>0</v>
      </c>
      <c r="AY405" s="32" t="s">
        <v>81</v>
      </c>
      <c r="AZ405" s="32" t="s">
        <v>141</v>
      </c>
      <c r="BA405" s="21" t="s">
        <v>129</v>
      </c>
      <c r="BC405" s="13">
        <f t="shared" si="293"/>
        <v>0</v>
      </c>
      <c r="BD405" s="13">
        <f t="shared" si="294"/>
        <v>0</v>
      </c>
      <c r="BE405" s="13">
        <v>0</v>
      </c>
      <c r="BF405" s="13">
        <f>405</f>
        <v>405</v>
      </c>
      <c r="BH405" s="13">
        <f t="shared" si="295"/>
        <v>0</v>
      </c>
      <c r="BI405" s="13">
        <f t="shared" si="296"/>
        <v>0</v>
      </c>
      <c r="BJ405" s="13">
        <f t="shared" si="297"/>
        <v>0</v>
      </c>
      <c r="BK405" s="13"/>
      <c r="BL405" s="13">
        <v>87</v>
      </c>
    </row>
    <row r="406" spans="1:47" ht="15" customHeight="1">
      <c r="A406" s="30" t="s">
        <v>862</v>
      </c>
      <c r="B406" s="18" t="s">
        <v>1242</v>
      </c>
      <c r="C406" s="18" t="s">
        <v>1308</v>
      </c>
      <c r="D406" s="73" t="s">
        <v>805</v>
      </c>
      <c r="E406" s="73"/>
      <c r="F406" s="73"/>
      <c r="G406" s="73"/>
      <c r="H406" s="15" t="s">
        <v>1148</v>
      </c>
      <c r="I406" s="15" t="s">
        <v>1148</v>
      </c>
      <c r="J406" s="15" t="s">
        <v>1148</v>
      </c>
      <c r="K406" s="56">
        <f>SUM(K407:K425)</f>
        <v>0</v>
      </c>
      <c r="L406" s="56">
        <f>SUM(L407:L425)</f>
        <v>0</v>
      </c>
      <c r="M406" s="56">
        <f>SUM(M407:M425)</f>
        <v>0</v>
      </c>
      <c r="N406" s="21" t="s">
        <v>862</v>
      </c>
      <c r="O406" s="47" t="s">
        <v>862</v>
      </c>
      <c r="AI406" s="21" t="s">
        <v>1242</v>
      </c>
      <c r="AS406" s="56">
        <f>SUM(AJ407:AJ425)</f>
        <v>0</v>
      </c>
      <c r="AT406" s="56">
        <f>SUM(AK407:AK425)</f>
        <v>0</v>
      </c>
      <c r="AU406" s="56">
        <f>SUM(AL407:AL425)</f>
        <v>0</v>
      </c>
    </row>
    <row r="407" spans="1:64" ht="15" customHeight="1">
      <c r="A407" s="11" t="s">
        <v>1069</v>
      </c>
      <c r="B407" s="48" t="s">
        <v>1242</v>
      </c>
      <c r="C407" s="48" t="s">
        <v>1316</v>
      </c>
      <c r="D407" s="61" t="s">
        <v>1226</v>
      </c>
      <c r="E407" s="61"/>
      <c r="F407" s="61"/>
      <c r="G407" s="61"/>
      <c r="H407" s="48" t="s">
        <v>1018</v>
      </c>
      <c r="I407" s="13">
        <v>439.1</v>
      </c>
      <c r="J407" s="13">
        <v>0</v>
      </c>
      <c r="K407" s="13">
        <f aca="true" t="shared" si="298" ref="K407:K425">I407*AO407</f>
        <v>0</v>
      </c>
      <c r="L407" s="13">
        <f aca="true" t="shared" si="299" ref="L407:L425">I407*AP407</f>
        <v>0</v>
      </c>
      <c r="M407" s="13">
        <f aca="true" t="shared" si="300" ref="M407:M425">I407*J407</f>
        <v>0</v>
      </c>
      <c r="N407" s="13">
        <v>0</v>
      </c>
      <c r="O407" s="10" t="s">
        <v>851</v>
      </c>
      <c r="Z407" s="13">
        <f aca="true" t="shared" si="301" ref="Z407:Z425">IF(AQ407="5",BJ407,0)</f>
        <v>0</v>
      </c>
      <c r="AB407" s="13">
        <f aca="true" t="shared" si="302" ref="AB407:AB425">IF(AQ407="1",BH407,0)</f>
        <v>0</v>
      </c>
      <c r="AC407" s="13">
        <f aca="true" t="shared" si="303" ref="AC407:AC425">IF(AQ407="1",BI407,0)</f>
        <v>0</v>
      </c>
      <c r="AD407" s="13">
        <f aca="true" t="shared" si="304" ref="AD407:AD425">IF(AQ407="7",BH407,0)</f>
        <v>0</v>
      </c>
      <c r="AE407" s="13">
        <f aca="true" t="shared" si="305" ref="AE407:AE425">IF(AQ407="7",BI407,0)</f>
        <v>0</v>
      </c>
      <c r="AF407" s="13">
        <f aca="true" t="shared" si="306" ref="AF407:AF425">IF(AQ407="2",BH407,0)</f>
        <v>0</v>
      </c>
      <c r="AG407" s="13">
        <f aca="true" t="shared" si="307" ref="AG407:AG425">IF(AQ407="2",BI407,0)</f>
        <v>0</v>
      </c>
      <c r="AH407" s="13">
        <f aca="true" t="shared" si="308" ref="AH407:AH425">IF(AQ407="0",BJ407,0)</f>
        <v>0</v>
      </c>
      <c r="AI407" s="21" t="s">
        <v>1242</v>
      </c>
      <c r="AJ407" s="13">
        <f aca="true" t="shared" si="309" ref="AJ407:AJ425">IF(AN407=0,M407,0)</f>
        <v>0</v>
      </c>
      <c r="AK407" s="13">
        <f aca="true" t="shared" si="310" ref="AK407:AK425">IF(AN407=15,M407,0)</f>
        <v>0</v>
      </c>
      <c r="AL407" s="13">
        <f aca="true" t="shared" si="311" ref="AL407:AL425">IF(AN407=21,M407,0)</f>
        <v>0</v>
      </c>
      <c r="AN407" s="13">
        <v>21</v>
      </c>
      <c r="AO407" s="13">
        <f>J407*0.0245590340456546</f>
        <v>0</v>
      </c>
      <c r="AP407" s="13">
        <f>J407*(1-0.0245590340456546)</f>
        <v>0</v>
      </c>
      <c r="AQ407" s="32" t="s">
        <v>1231</v>
      </c>
      <c r="AV407" s="13">
        <f aca="true" t="shared" si="312" ref="AV407:AV425">AW407+AX407</f>
        <v>0</v>
      </c>
      <c r="AW407" s="13">
        <f aca="true" t="shared" si="313" ref="AW407:AW425">I407*AO407</f>
        <v>0</v>
      </c>
      <c r="AX407" s="13">
        <f aca="true" t="shared" si="314" ref="AX407:AX425">I407*AP407</f>
        <v>0</v>
      </c>
      <c r="AY407" s="32" t="s">
        <v>98</v>
      </c>
      <c r="AZ407" s="32" t="s">
        <v>141</v>
      </c>
      <c r="BA407" s="21" t="s">
        <v>129</v>
      </c>
      <c r="BC407" s="13">
        <f aca="true" t="shared" si="315" ref="BC407:BC425">AW407+AX407</f>
        <v>0</v>
      </c>
      <c r="BD407" s="13">
        <f aca="true" t="shared" si="316" ref="BD407:BD425">J407/(100-BE407)*100</f>
        <v>0</v>
      </c>
      <c r="BE407" s="13">
        <v>0</v>
      </c>
      <c r="BF407" s="13">
        <f>407</f>
        <v>407</v>
      </c>
      <c r="BH407" s="13">
        <f aca="true" t="shared" si="317" ref="BH407:BH425">I407*AO407</f>
        <v>0</v>
      </c>
      <c r="BI407" s="13">
        <f aca="true" t="shared" si="318" ref="BI407:BI425">I407*AP407</f>
        <v>0</v>
      </c>
      <c r="BJ407" s="13">
        <f aca="true" t="shared" si="319" ref="BJ407:BJ425">I407*J407</f>
        <v>0</v>
      </c>
      <c r="BK407" s="13"/>
      <c r="BL407" s="13">
        <v>89</v>
      </c>
    </row>
    <row r="408" spans="1:64" ht="15" customHeight="1">
      <c r="A408" s="11" t="s">
        <v>866</v>
      </c>
      <c r="B408" s="48" t="s">
        <v>1242</v>
      </c>
      <c r="C408" s="48" t="s">
        <v>788</v>
      </c>
      <c r="D408" s="61" t="s">
        <v>620</v>
      </c>
      <c r="E408" s="61"/>
      <c r="F408" s="61"/>
      <c r="G408" s="61"/>
      <c r="H408" s="48" t="s">
        <v>1018</v>
      </c>
      <c r="I408" s="13">
        <v>439.1</v>
      </c>
      <c r="J408" s="13">
        <v>0</v>
      </c>
      <c r="K408" s="13">
        <f t="shared" si="298"/>
        <v>0</v>
      </c>
      <c r="L408" s="13">
        <f t="shared" si="299"/>
        <v>0</v>
      </c>
      <c r="M408" s="13">
        <f t="shared" si="300"/>
        <v>0</v>
      </c>
      <c r="N408" s="13">
        <v>0</v>
      </c>
      <c r="O408" s="10" t="s">
        <v>851</v>
      </c>
      <c r="Z408" s="13">
        <f t="shared" si="301"/>
        <v>0</v>
      </c>
      <c r="AB408" s="13">
        <f t="shared" si="302"/>
        <v>0</v>
      </c>
      <c r="AC408" s="13">
        <f t="shared" si="303"/>
        <v>0</v>
      </c>
      <c r="AD408" s="13">
        <f t="shared" si="304"/>
        <v>0</v>
      </c>
      <c r="AE408" s="13">
        <f t="shared" si="305"/>
        <v>0</v>
      </c>
      <c r="AF408" s="13">
        <f t="shared" si="306"/>
        <v>0</v>
      </c>
      <c r="AG408" s="13">
        <f t="shared" si="307"/>
        <v>0</v>
      </c>
      <c r="AH408" s="13">
        <f t="shared" si="308"/>
        <v>0</v>
      </c>
      <c r="AI408" s="21" t="s">
        <v>1242</v>
      </c>
      <c r="AJ408" s="13">
        <f t="shared" si="309"/>
        <v>0</v>
      </c>
      <c r="AK408" s="13">
        <f t="shared" si="310"/>
        <v>0</v>
      </c>
      <c r="AL408" s="13">
        <f t="shared" si="311"/>
        <v>0</v>
      </c>
      <c r="AN408" s="13">
        <v>21</v>
      </c>
      <c r="AO408" s="13">
        <f>J408*0.0295666234372377</f>
        <v>0</v>
      </c>
      <c r="AP408" s="13">
        <f>J408*(1-0.0295666234372377)</f>
        <v>0</v>
      </c>
      <c r="AQ408" s="32" t="s">
        <v>1231</v>
      </c>
      <c r="AV408" s="13">
        <f t="shared" si="312"/>
        <v>0</v>
      </c>
      <c r="AW408" s="13">
        <f t="shared" si="313"/>
        <v>0</v>
      </c>
      <c r="AX408" s="13">
        <f t="shared" si="314"/>
        <v>0</v>
      </c>
      <c r="AY408" s="32" t="s">
        <v>98</v>
      </c>
      <c r="AZ408" s="32" t="s">
        <v>141</v>
      </c>
      <c r="BA408" s="21" t="s">
        <v>129</v>
      </c>
      <c r="BC408" s="13">
        <f t="shared" si="315"/>
        <v>0</v>
      </c>
      <c r="BD408" s="13">
        <f t="shared" si="316"/>
        <v>0</v>
      </c>
      <c r="BE408" s="13">
        <v>0</v>
      </c>
      <c r="BF408" s="13">
        <f>408</f>
        <v>408</v>
      </c>
      <c r="BH408" s="13">
        <f t="shared" si="317"/>
        <v>0</v>
      </c>
      <c r="BI408" s="13">
        <f t="shared" si="318"/>
        <v>0</v>
      </c>
      <c r="BJ408" s="13">
        <f t="shared" si="319"/>
        <v>0</v>
      </c>
      <c r="BK408" s="13"/>
      <c r="BL408" s="13">
        <v>89</v>
      </c>
    </row>
    <row r="409" spans="1:64" ht="15" customHeight="1">
      <c r="A409" s="11" t="s">
        <v>334</v>
      </c>
      <c r="B409" s="48" t="s">
        <v>1242</v>
      </c>
      <c r="C409" s="48" t="s">
        <v>225</v>
      </c>
      <c r="D409" s="61" t="s">
        <v>1313</v>
      </c>
      <c r="E409" s="61"/>
      <c r="F409" s="61"/>
      <c r="G409" s="61"/>
      <c r="H409" s="48" t="s">
        <v>1018</v>
      </c>
      <c r="I409" s="13">
        <v>478.61</v>
      </c>
      <c r="J409" s="13">
        <v>0</v>
      </c>
      <c r="K409" s="13">
        <f t="shared" si="298"/>
        <v>0</v>
      </c>
      <c r="L409" s="13">
        <f t="shared" si="299"/>
        <v>0</v>
      </c>
      <c r="M409" s="13">
        <f t="shared" si="300"/>
        <v>0</v>
      </c>
      <c r="N409" s="13">
        <v>0</v>
      </c>
      <c r="O409" s="10" t="s">
        <v>851</v>
      </c>
      <c r="Z409" s="13">
        <f t="shared" si="301"/>
        <v>0</v>
      </c>
      <c r="AB409" s="13">
        <f t="shared" si="302"/>
        <v>0</v>
      </c>
      <c r="AC409" s="13">
        <f t="shared" si="303"/>
        <v>0</v>
      </c>
      <c r="AD409" s="13">
        <f t="shared" si="304"/>
        <v>0</v>
      </c>
      <c r="AE409" s="13">
        <f t="shared" si="305"/>
        <v>0</v>
      </c>
      <c r="AF409" s="13">
        <f t="shared" si="306"/>
        <v>0</v>
      </c>
      <c r="AG409" s="13">
        <f t="shared" si="307"/>
        <v>0</v>
      </c>
      <c r="AH409" s="13">
        <f t="shared" si="308"/>
        <v>0</v>
      </c>
      <c r="AI409" s="21" t="s">
        <v>1242</v>
      </c>
      <c r="AJ409" s="13">
        <f t="shared" si="309"/>
        <v>0</v>
      </c>
      <c r="AK409" s="13">
        <f t="shared" si="310"/>
        <v>0</v>
      </c>
      <c r="AL409" s="13">
        <f t="shared" si="311"/>
        <v>0</v>
      </c>
      <c r="AN409" s="13">
        <v>21</v>
      </c>
      <c r="AO409" s="13">
        <f>J409*0.322424038282553</f>
        <v>0</v>
      </c>
      <c r="AP409" s="13">
        <f>J409*(1-0.322424038282553)</f>
        <v>0</v>
      </c>
      <c r="AQ409" s="32" t="s">
        <v>1231</v>
      </c>
      <c r="AV409" s="13">
        <f t="shared" si="312"/>
        <v>0</v>
      </c>
      <c r="AW409" s="13">
        <f t="shared" si="313"/>
        <v>0</v>
      </c>
      <c r="AX409" s="13">
        <f t="shared" si="314"/>
        <v>0</v>
      </c>
      <c r="AY409" s="32" t="s">
        <v>98</v>
      </c>
      <c r="AZ409" s="32" t="s">
        <v>141</v>
      </c>
      <c r="BA409" s="21" t="s">
        <v>129</v>
      </c>
      <c r="BC409" s="13">
        <f t="shared" si="315"/>
        <v>0</v>
      </c>
      <c r="BD409" s="13">
        <f t="shared" si="316"/>
        <v>0</v>
      </c>
      <c r="BE409" s="13">
        <v>0</v>
      </c>
      <c r="BF409" s="13">
        <f>409</f>
        <v>409</v>
      </c>
      <c r="BH409" s="13">
        <f t="shared" si="317"/>
        <v>0</v>
      </c>
      <c r="BI409" s="13">
        <f t="shared" si="318"/>
        <v>0</v>
      </c>
      <c r="BJ409" s="13">
        <f t="shared" si="319"/>
        <v>0</v>
      </c>
      <c r="BK409" s="13"/>
      <c r="BL409" s="13">
        <v>89</v>
      </c>
    </row>
    <row r="410" spans="1:64" ht="15" customHeight="1">
      <c r="A410" s="11" t="s">
        <v>1136</v>
      </c>
      <c r="B410" s="48" t="s">
        <v>1242</v>
      </c>
      <c r="C410" s="48" t="s">
        <v>885</v>
      </c>
      <c r="D410" s="61" t="s">
        <v>75</v>
      </c>
      <c r="E410" s="61"/>
      <c r="F410" s="61"/>
      <c r="G410" s="61"/>
      <c r="H410" s="48" t="s">
        <v>299</v>
      </c>
      <c r="I410" s="13">
        <v>2</v>
      </c>
      <c r="J410" s="13">
        <v>0</v>
      </c>
      <c r="K410" s="13">
        <f t="shared" si="298"/>
        <v>0</v>
      </c>
      <c r="L410" s="13">
        <f t="shared" si="299"/>
        <v>0</v>
      </c>
      <c r="M410" s="13">
        <f t="shared" si="300"/>
        <v>0</v>
      </c>
      <c r="N410" s="13">
        <v>0.00022</v>
      </c>
      <c r="O410" s="10" t="s">
        <v>851</v>
      </c>
      <c r="Z410" s="13">
        <f t="shared" si="301"/>
        <v>0</v>
      </c>
      <c r="AB410" s="13">
        <f t="shared" si="302"/>
        <v>0</v>
      </c>
      <c r="AC410" s="13">
        <f t="shared" si="303"/>
        <v>0</v>
      </c>
      <c r="AD410" s="13">
        <f t="shared" si="304"/>
        <v>0</v>
      </c>
      <c r="AE410" s="13">
        <f t="shared" si="305"/>
        <v>0</v>
      </c>
      <c r="AF410" s="13">
        <f t="shared" si="306"/>
        <v>0</v>
      </c>
      <c r="AG410" s="13">
        <f t="shared" si="307"/>
        <v>0</v>
      </c>
      <c r="AH410" s="13">
        <f t="shared" si="308"/>
        <v>0</v>
      </c>
      <c r="AI410" s="21" t="s">
        <v>1242</v>
      </c>
      <c r="AJ410" s="13">
        <f t="shared" si="309"/>
        <v>0</v>
      </c>
      <c r="AK410" s="13">
        <f t="shared" si="310"/>
        <v>0</v>
      </c>
      <c r="AL410" s="13">
        <f t="shared" si="311"/>
        <v>0</v>
      </c>
      <c r="AN410" s="13">
        <v>21</v>
      </c>
      <c r="AO410" s="13">
        <f>J410*0.117775377969762</f>
        <v>0</v>
      </c>
      <c r="AP410" s="13">
        <f>J410*(1-0.117775377969762)</f>
        <v>0</v>
      </c>
      <c r="AQ410" s="32" t="s">
        <v>1231</v>
      </c>
      <c r="AV410" s="13">
        <f t="shared" si="312"/>
        <v>0</v>
      </c>
      <c r="AW410" s="13">
        <f t="shared" si="313"/>
        <v>0</v>
      </c>
      <c r="AX410" s="13">
        <f t="shared" si="314"/>
        <v>0</v>
      </c>
      <c r="AY410" s="32" t="s">
        <v>98</v>
      </c>
      <c r="AZ410" s="32" t="s">
        <v>141</v>
      </c>
      <c r="BA410" s="21" t="s">
        <v>129</v>
      </c>
      <c r="BC410" s="13">
        <f t="shared" si="315"/>
        <v>0</v>
      </c>
      <c r="BD410" s="13">
        <f t="shared" si="316"/>
        <v>0</v>
      </c>
      <c r="BE410" s="13">
        <v>0</v>
      </c>
      <c r="BF410" s="13">
        <f>410</f>
        <v>410</v>
      </c>
      <c r="BH410" s="13">
        <f t="shared" si="317"/>
        <v>0</v>
      </c>
      <c r="BI410" s="13">
        <f t="shared" si="318"/>
        <v>0</v>
      </c>
      <c r="BJ410" s="13">
        <f t="shared" si="319"/>
        <v>0</v>
      </c>
      <c r="BK410" s="13"/>
      <c r="BL410" s="13">
        <v>89</v>
      </c>
    </row>
    <row r="411" spans="1:64" ht="15" customHeight="1">
      <c r="A411" s="11" t="s">
        <v>1348</v>
      </c>
      <c r="B411" s="48" t="s">
        <v>1242</v>
      </c>
      <c r="C411" s="48" t="s">
        <v>273</v>
      </c>
      <c r="D411" s="61" t="s">
        <v>251</v>
      </c>
      <c r="E411" s="61"/>
      <c r="F411" s="61"/>
      <c r="G411" s="61"/>
      <c r="H411" s="48" t="s">
        <v>299</v>
      </c>
      <c r="I411" s="13">
        <v>6</v>
      </c>
      <c r="J411" s="13">
        <v>0</v>
      </c>
      <c r="K411" s="13">
        <f t="shared" si="298"/>
        <v>0</v>
      </c>
      <c r="L411" s="13">
        <f t="shared" si="299"/>
        <v>0</v>
      </c>
      <c r="M411" s="13">
        <f t="shared" si="300"/>
        <v>0</v>
      </c>
      <c r="N411" s="13">
        <v>0.00041</v>
      </c>
      <c r="O411" s="10" t="s">
        <v>851</v>
      </c>
      <c r="Z411" s="13">
        <f t="shared" si="301"/>
        <v>0</v>
      </c>
      <c r="AB411" s="13">
        <f t="shared" si="302"/>
        <v>0</v>
      </c>
      <c r="AC411" s="13">
        <f t="shared" si="303"/>
        <v>0</v>
      </c>
      <c r="AD411" s="13">
        <f t="shared" si="304"/>
        <v>0</v>
      </c>
      <c r="AE411" s="13">
        <f t="shared" si="305"/>
        <v>0</v>
      </c>
      <c r="AF411" s="13">
        <f t="shared" si="306"/>
        <v>0</v>
      </c>
      <c r="AG411" s="13">
        <f t="shared" si="307"/>
        <v>0</v>
      </c>
      <c r="AH411" s="13">
        <f t="shared" si="308"/>
        <v>0</v>
      </c>
      <c r="AI411" s="21" t="s">
        <v>1242</v>
      </c>
      <c r="AJ411" s="13">
        <f t="shared" si="309"/>
        <v>0</v>
      </c>
      <c r="AK411" s="13">
        <f t="shared" si="310"/>
        <v>0</v>
      </c>
      <c r="AL411" s="13">
        <f t="shared" si="311"/>
        <v>0</v>
      </c>
      <c r="AN411" s="13">
        <v>21</v>
      </c>
      <c r="AO411" s="13">
        <f>J411*0.171815878378378</f>
        <v>0</v>
      </c>
      <c r="AP411" s="13">
        <f>J411*(1-0.171815878378378)</f>
        <v>0</v>
      </c>
      <c r="AQ411" s="32" t="s">
        <v>1231</v>
      </c>
      <c r="AV411" s="13">
        <f t="shared" si="312"/>
        <v>0</v>
      </c>
      <c r="AW411" s="13">
        <f t="shared" si="313"/>
        <v>0</v>
      </c>
      <c r="AX411" s="13">
        <f t="shared" si="314"/>
        <v>0</v>
      </c>
      <c r="AY411" s="32" t="s">
        <v>98</v>
      </c>
      <c r="AZ411" s="32" t="s">
        <v>141</v>
      </c>
      <c r="BA411" s="21" t="s">
        <v>129</v>
      </c>
      <c r="BC411" s="13">
        <f t="shared" si="315"/>
        <v>0</v>
      </c>
      <c r="BD411" s="13">
        <f t="shared" si="316"/>
        <v>0</v>
      </c>
      <c r="BE411" s="13">
        <v>0</v>
      </c>
      <c r="BF411" s="13">
        <f>411</f>
        <v>411</v>
      </c>
      <c r="BH411" s="13">
        <f t="shared" si="317"/>
        <v>0</v>
      </c>
      <c r="BI411" s="13">
        <f t="shared" si="318"/>
        <v>0</v>
      </c>
      <c r="BJ411" s="13">
        <f t="shared" si="319"/>
        <v>0</v>
      </c>
      <c r="BK411" s="13"/>
      <c r="BL411" s="13">
        <v>89</v>
      </c>
    </row>
    <row r="412" spans="1:64" ht="15" customHeight="1">
      <c r="A412" s="11" t="s">
        <v>904</v>
      </c>
      <c r="B412" s="48" t="s">
        <v>1242</v>
      </c>
      <c r="C412" s="48" t="s">
        <v>1394</v>
      </c>
      <c r="D412" s="61" t="s">
        <v>166</v>
      </c>
      <c r="E412" s="61"/>
      <c r="F412" s="61"/>
      <c r="G412" s="61"/>
      <c r="H412" s="48" t="s">
        <v>299</v>
      </c>
      <c r="I412" s="13">
        <v>6</v>
      </c>
      <c r="J412" s="13">
        <v>0</v>
      </c>
      <c r="K412" s="13">
        <f t="shared" si="298"/>
        <v>0</v>
      </c>
      <c r="L412" s="13">
        <f t="shared" si="299"/>
        <v>0</v>
      </c>
      <c r="M412" s="13">
        <f t="shared" si="300"/>
        <v>0</v>
      </c>
      <c r="N412" s="13">
        <v>0.0245</v>
      </c>
      <c r="O412" s="10" t="s">
        <v>851</v>
      </c>
      <c r="Z412" s="13">
        <f t="shared" si="301"/>
        <v>0</v>
      </c>
      <c r="AB412" s="13">
        <f t="shared" si="302"/>
        <v>0</v>
      </c>
      <c r="AC412" s="13">
        <f t="shared" si="303"/>
        <v>0</v>
      </c>
      <c r="AD412" s="13">
        <f t="shared" si="304"/>
        <v>0</v>
      </c>
      <c r="AE412" s="13">
        <f t="shared" si="305"/>
        <v>0</v>
      </c>
      <c r="AF412" s="13">
        <f t="shared" si="306"/>
        <v>0</v>
      </c>
      <c r="AG412" s="13">
        <f t="shared" si="307"/>
        <v>0</v>
      </c>
      <c r="AH412" s="13">
        <f t="shared" si="308"/>
        <v>0</v>
      </c>
      <c r="AI412" s="21" t="s">
        <v>1242</v>
      </c>
      <c r="AJ412" s="13">
        <f t="shared" si="309"/>
        <v>0</v>
      </c>
      <c r="AK412" s="13">
        <f t="shared" si="310"/>
        <v>0</v>
      </c>
      <c r="AL412" s="13">
        <f t="shared" si="311"/>
        <v>0</v>
      </c>
      <c r="AN412" s="13">
        <v>21</v>
      </c>
      <c r="AO412" s="13">
        <f>J412*1</f>
        <v>0</v>
      </c>
      <c r="AP412" s="13">
        <f>J412*(1-1)</f>
        <v>0</v>
      </c>
      <c r="AQ412" s="32" t="s">
        <v>1231</v>
      </c>
      <c r="AV412" s="13">
        <f t="shared" si="312"/>
        <v>0</v>
      </c>
      <c r="AW412" s="13">
        <f t="shared" si="313"/>
        <v>0</v>
      </c>
      <c r="AX412" s="13">
        <f t="shared" si="314"/>
        <v>0</v>
      </c>
      <c r="AY412" s="32" t="s">
        <v>98</v>
      </c>
      <c r="AZ412" s="32" t="s">
        <v>141</v>
      </c>
      <c r="BA412" s="21" t="s">
        <v>129</v>
      </c>
      <c r="BC412" s="13">
        <f t="shared" si="315"/>
        <v>0</v>
      </c>
      <c r="BD412" s="13">
        <f t="shared" si="316"/>
        <v>0</v>
      </c>
      <c r="BE412" s="13">
        <v>0</v>
      </c>
      <c r="BF412" s="13">
        <f>412</f>
        <v>412</v>
      </c>
      <c r="BH412" s="13">
        <f t="shared" si="317"/>
        <v>0</v>
      </c>
      <c r="BI412" s="13">
        <f t="shared" si="318"/>
        <v>0</v>
      </c>
      <c r="BJ412" s="13">
        <f t="shared" si="319"/>
        <v>0</v>
      </c>
      <c r="BK412" s="13"/>
      <c r="BL412" s="13">
        <v>89</v>
      </c>
    </row>
    <row r="413" spans="1:64" ht="15" customHeight="1">
      <c r="A413" s="11" t="s">
        <v>1017</v>
      </c>
      <c r="B413" s="48" t="s">
        <v>1242</v>
      </c>
      <c r="C413" s="48" t="s">
        <v>588</v>
      </c>
      <c r="D413" s="61" t="s">
        <v>906</v>
      </c>
      <c r="E413" s="61"/>
      <c r="F413" s="61"/>
      <c r="G413" s="61"/>
      <c r="H413" s="48" t="s">
        <v>299</v>
      </c>
      <c r="I413" s="13">
        <v>6</v>
      </c>
      <c r="J413" s="13">
        <v>0</v>
      </c>
      <c r="K413" s="13">
        <f t="shared" si="298"/>
        <v>0</v>
      </c>
      <c r="L413" s="13">
        <f t="shared" si="299"/>
        <v>0</v>
      </c>
      <c r="M413" s="13">
        <f t="shared" si="300"/>
        <v>0</v>
      </c>
      <c r="N413" s="13">
        <v>0</v>
      </c>
      <c r="O413" s="10" t="s">
        <v>851</v>
      </c>
      <c r="Z413" s="13">
        <f t="shared" si="301"/>
        <v>0</v>
      </c>
      <c r="AB413" s="13">
        <f t="shared" si="302"/>
        <v>0</v>
      </c>
      <c r="AC413" s="13">
        <f t="shared" si="303"/>
        <v>0</v>
      </c>
      <c r="AD413" s="13">
        <f t="shared" si="304"/>
        <v>0</v>
      </c>
      <c r="AE413" s="13">
        <f t="shared" si="305"/>
        <v>0</v>
      </c>
      <c r="AF413" s="13">
        <f t="shared" si="306"/>
        <v>0</v>
      </c>
      <c r="AG413" s="13">
        <f t="shared" si="307"/>
        <v>0</v>
      </c>
      <c r="AH413" s="13">
        <f t="shared" si="308"/>
        <v>0</v>
      </c>
      <c r="AI413" s="21" t="s">
        <v>1242</v>
      </c>
      <c r="AJ413" s="13">
        <f t="shared" si="309"/>
        <v>0</v>
      </c>
      <c r="AK413" s="13">
        <f t="shared" si="310"/>
        <v>0</v>
      </c>
      <c r="AL413" s="13">
        <f t="shared" si="311"/>
        <v>0</v>
      </c>
      <c r="AN413" s="13">
        <v>21</v>
      </c>
      <c r="AO413" s="13">
        <f>J413*1</f>
        <v>0</v>
      </c>
      <c r="AP413" s="13">
        <f>J413*(1-1)</f>
        <v>0</v>
      </c>
      <c r="AQ413" s="32" t="s">
        <v>1231</v>
      </c>
      <c r="AV413" s="13">
        <f t="shared" si="312"/>
        <v>0</v>
      </c>
      <c r="AW413" s="13">
        <f t="shared" si="313"/>
        <v>0</v>
      </c>
      <c r="AX413" s="13">
        <f t="shared" si="314"/>
        <v>0</v>
      </c>
      <c r="AY413" s="32" t="s">
        <v>98</v>
      </c>
      <c r="AZ413" s="32" t="s">
        <v>141</v>
      </c>
      <c r="BA413" s="21" t="s">
        <v>129</v>
      </c>
      <c r="BC413" s="13">
        <f t="shared" si="315"/>
        <v>0</v>
      </c>
      <c r="BD413" s="13">
        <f t="shared" si="316"/>
        <v>0</v>
      </c>
      <c r="BE413" s="13">
        <v>0</v>
      </c>
      <c r="BF413" s="13">
        <f>413</f>
        <v>413</v>
      </c>
      <c r="BH413" s="13">
        <f t="shared" si="317"/>
        <v>0</v>
      </c>
      <c r="BI413" s="13">
        <f t="shared" si="318"/>
        <v>0</v>
      </c>
      <c r="BJ413" s="13">
        <f t="shared" si="319"/>
        <v>0</v>
      </c>
      <c r="BK413" s="13"/>
      <c r="BL413" s="13">
        <v>89</v>
      </c>
    </row>
    <row r="414" spans="1:64" ht="15" customHeight="1">
      <c r="A414" s="11" t="s">
        <v>837</v>
      </c>
      <c r="B414" s="48" t="s">
        <v>1242</v>
      </c>
      <c r="C414" s="48" t="s">
        <v>974</v>
      </c>
      <c r="D414" s="61" t="s">
        <v>156</v>
      </c>
      <c r="E414" s="61"/>
      <c r="F414" s="61"/>
      <c r="G414" s="61"/>
      <c r="H414" s="48" t="s">
        <v>299</v>
      </c>
      <c r="I414" s="13">
        <v>55</v>
      </c>
      <c r="J414" s="13">
        <v>0</v>
      </c>
      <c r="K414" s="13">
        <f t="shared" si="298"/>
        <v>0</v>
      </c>
      <c r="L414" s="13">
        <f t="shared" si="299"/>
        <v>0</v>
      </c>
      <c r="M414" s="13">
        <f t="shared" si="300"/>
        <v>0</v>
      </c>
      <c r="N414" s="13">
        <v>0.12303</v>
      </c>
      <c r="O414" s="10" t="s">
        <v>851</v>
      </c>
      <c r="Z414" s="13">
        <f t="shared" si="301"/>
        <v>0</v>
      </c>
      <c r="AB414" s="13">
        <f t="shared" si="302"/>
        <v>0</v>
      </c>
      <c r="AC414" s="13">
        <f t="shared" si="303"/>
        <v>0</v>
      </c>
      <c r="AD414" s="13">
        <f t="shared" si="304"/>
        <v>0</v>
      </c>
      <c r="AE414" s="13">
        <f t="shared" si="305"/>
        <v>0</v>
      </c>
      <c r="AF414" s="13">
        <f t="shared" si="306"/>
        <v>0</v>
      </c>
      <c r="AG414" s="13">
        <f t="shared" si="307"/>
        <v>0</v>
      </c>
      <c r="AH414" s="13">
        <f t="shared" si="308"/>
        <v>0</v>
      </c>
      <c r="AI414" s="21" t="s">
        <v>1242</v>
      </c>
      <c r="AJ414" s="13">
        <f t="shared" si="309"/>
        <v>0</v>
      </c>
      <c r="AK414" s="13">
        <f t="shared" si="310"/>
        <v>0</v>
      </c>
      <c r="AL414" s="13">
        <f t="shared" si="311"/>
        <v>0</v>
      </c>
      <c r="AN414" s="13">
        <v>21</v>
      </c>
      <c r="AO414" s="13">
        <f>J414*0.395904486251809</f>
        <v>0</v>
      </c>
      <c r="AP414" s="13">
        <f>J414*(1-0.395904486251809)</f>
        <v>0</v>
      </c>
      <c r="AQ414" s="32" t="s">
        <v>1231</v>
      </c>
      <c r="AV414" s="13">
        <f t="shared" si="312"/>
        <v>0</v>
      </c>
      <c r="AW414" s="13">
        <f t="shared" si="313"/>
        <v>0</v>
      </c>
      <c r="AX414" s="13">
        <f t="shared" si="314"/>
        <v>0</v>
      </c>
      <c r="AY414" s="32" t="s">
        <v>98</v>
      </c>
      <c r="AZ414" s="32" t="s">
        <v>141</v>
      </c>
      <c r="BA414" s="21" t="s">
        <v>129</v>
      </c>
      <c r="BC414" s="13">
        <f t="shared" si="315"/>
        <v>0</v>
      </c>
      <c r="BD414" s="13">
        <f t="shared" si="316"/>
        <v>0</v>
      </c>
      <c r="BE414" s="13">
        <v>0</v>
      </c>
      <c r="BF414" s="13">
        <f>414</f>
        <v>414</v>
      </c>
      <c r="BH414" s="13">
        <f t="shared" si="317"/>
        <v>0</v>
      </c>
      <c r="BI414" s="13">
        <f t="shared" si="318"/>
        <v>0</v>
      </c>
      <c r="BJ414" s="13">
        <f t="shared" si="319"/>
        <v>0</v>
      </c>
      <c r="BK414" s="13"/>
      <c r="BL414" s="13">
        <v>89</v>
      </c>
    </row>
    <row r="415" spans="1:64" ht="15" customHeight="1">
      <c r="A415" s="11" t="s">
        <v>688</v>
      </c>
      <c r="B415" s="48" t="s">
        <v>1242</v>
      </c>
      <c r="C415" s="48" t="s">
        <v>47</v>
      </c>
      <c r="D415" s="61" t="s">
        <v>1208</v>
      </c>
      <c r="E415" s="61"/>
      <c r="F415" s="61"/>
      <c r="G415" s="61"/>
      <c r="H415" s="48" t="s">
        <v>299</v>
      </c>
      <c r="I415" s="13">
        <v>29.5</v>
      </c>
      <c r="J415" s="13">
        <v>0</v>
      </c>
      <c r="K415" s="13">
        <f t="shared" si="298"/>
        <v>0</v>
      </c>
      <c r="L415" s="13">
        <f t="shared" si="299"/>
        <v>0</v>
      </c>
      <c r="M415" s="13">
        <f t="shared" si="300"/>
        <v>0</v>
      </c>
      <c r="N415" s="13">
        <v>0</v>
      </c>
      <c r="O415" s="10" t="s">
        <v>851</v>
      </c>
      <c r="Z415" s="13">
        <f t="shared" si="301"/>
        <v>0</v>
      </c>
      <c r="AB415" s="13">
        <f t="shared" si="302"/>
        <v>0</v>
      </c>
      <c r="AC415" s="13">
        <f t="shared" si="303"/>
        <v>0</v>
      </c>
      <c r="AD415" s="13">
        <f t="shared" si="304"/>
        <v>0</v>
      </c>
      <c r="AE415" s="13">
        <f t="shared" si="305"/>
        <v>0</v>
      </c>
      <c r="AF415" s="13">
        <f t="shared" si="306"/>
        <v>0</v>
      </c>
      <c r="AG415" s="13">
        <f t="shared" si="307"/>
        <v>0</v>
      </c>
      <c r="AH415" s="13">
        <f t="shared" si="308"/>
        <v>0</v>
      </c>
      <c r="AI415" s="21" t="s">
        <v>1242</v>
      </c>
      <c r="AJ415" s="13">
        <f t="shared" si="309"/>
        <v>0</v>
      </c>
      <c r="AK415" s="13">
        <f t="shared" si="310"/>
        <v>0</v>
      </c>
      <c r="AL415" s="13">
        <f t="shared" si="311"/>
        <v>0</v>
      </c>
      <c r="AN415" s="13">
        <v>21</v>
      </c>
      <c r="AO415" s="13">
        <f>J415*1</f>
        <v>0</v>
      </c>
      <c r="AP415" s="13">
        <f>J415*(1-1)</f>
        <v>0</v>
      </c>
      <c r="AQ415" s="32" t="s">
        <v>1231</v>
      </c>
      <c r="AV415" s="13">
        <f t="shared" si="312"/>
        <v>0</v>
      </c>
      <c r="AW415" s="13">
        <f t="shared" si="313"/>
        <v>0</v>
      </c>
      <c r="AX415" s="13">
        <f t="shared" si="314"/>
        <v>0</v>
      </c>
      <c r="AY415" s="32" t="s">
        <v>98</v>
      </c>
      <c r="AZ415" s="32" t="s">
        <v>141</v>
      </c>
      <c r="BA415" s="21" t="s">
        <v>129</v>
      </c>
      <c r="BC415" s="13">
        <f t="shared" si="315"/>
        <v>0</v>
      </c>
      <c r="BD415" s="13">
        <f t="shared" si="316"/>
        <v>0</v>
      </c>
      <c r="BE415" s="13">
        <v>0</v>
      </c>
      <c r="BF415" s="13">
        <f>415</f>
        <v>415</v>
      </c>
      <c r="BH415" s="13">
        <f t="shared" si="317"/>
        <v>0</v>
      </c>
      <c r="BI415" s="13">
        <f t="shared" si="318"/>
        <v>0</v>
      </c>
      <c r="BJ415" s="13">
        <f t="shared" si="319"/>
        <v>0</v>
      </c>
      <c r="BK415" s="13"/>
      <c r="BL415" s="13">
        <v>89</v>
      </c>
    </row>
    <row r="416" spans="1:64" ht="15" customHeight="1">
      <c r="A416" s="11" t="s">
        <v>964</v>
      </c>
      <c r="B416" s="48" t="s">
        <v>1242</v>
      </c>
      <c r="C416" s="48" t="s">
        <v>341</v>
      </c>
      <c r="D416" s="61" t="s">
        <v>337</v>
      </c>
      <c r="E416" s="61"/>
      <c r="F416" s="61"/>
      <c r="G416" s="61"/>
      <c r="H416" s="48" t="s">
        <v>299</v>
      </c>
      <c r="I416" s="13">
        <v>55</v>
      </c>
      <c r="J416" s="13">
        <v>0</v>
      </c>
      <c r="K416" s="13">
        <f t="shared" si="298"/>
        <v>0</v>
      </c>
      <c r="L416" s="13">
        <f t="shared" si="299"/>
        <v>0</v>
      </c>
      <c r="M416" s="13">
        <f t="shared" si="300"/>
        <v>0</v>
      </c>
      <c r="N416" s="13">
        <v>0</v>
      </c>
      <c r="O416" s="10" t="s">
        <v>851</v>
      </c>
      <c r="Z416" s="13">
        <f t="shared" si="301"/>
        <v>0</v>
      </c>
      <c r="AB416" s="13">
        <f t="shared" si="302"/>
        <v>0</v>
      </c>
      <c r="AC416" s="13">
        <f t="shared" si="303"/>
        <v>0</v>
      </c>
      <c r="AD416" s="13">
        <f t="shared" si="304"/>
        <v>0</v>
      </c>
      <c r="AE416" s="13">
        <f t="shared" si="305"/>
        <v>0</v>
      </c>
      <c r="AF416" s="13">
        <f t="shared" si="306"/>
        <v>0</v>
      </c>
      <c r="AG416" s="13">
        <f t="shared" si="307"/>
        <v>0</v>
      </c>
      <c r="AH416" s="13">
        <f t="shared" si="308"/>
        <v>0</v>
      </c>
      <c r="AI416" s="21" t="s">
        <v>1242</v>
      </c>
      <c r="AJ416" s="13">
        <f t="shared" si="309"/>
        <v>0</v>
      </c>
      <c r="AK416" s="13">
        <f t="shared" si="310"/>
        <v>0</v>
      </c>
      <c r="AL416" s="13">
        <f t="shared" si="311"/>
        <v>0</v>
      </c>
      <c r="AN416" s="13">
        <v>21</v>
      </c>
      <c r="AO416" s="13">
        <f>J416*1</f>
        <v>0</v>
      </c>
      <c r="AP416" s="13">
        <f>J416*(1-1)</f>
        <v>0</v>
      </c>
      <c r="AQ416" s="32" t="s">
        <v>1231</v>
      </c>
      <c r="AV416" s="13">
        <f t="shared" si="312"/>
        <v>0</v>
      </c>
      <c r="AW416" s="13">
        <f t="shared" si="313"/>
        <v>0</v>
      </c>
      <c r="AX416" s="13">
        <f t="shared" si="314"/>
        <v>0</v>
      </c>
      <c r="AY416" s="32" t="s">
        <v>98</v>
      </c>
      <c r="AZ416" s="32" t="s">
        <v>141</v>
      </c>
      <c r="BA416" s="21" t="s">
        <v>129</v>
      </c>
      <c r="BC416" s="13">
        <f t="shared" si="315"/>
        <v>0</v>
      </c>
      <c r="BD416" s="13">
        <f t="shared" si="316"/>
        <v>0</v>
      </c>
      <c r="BE416" s="13">
        <v>0</v>
      </c>
      <c r="BF416" s="13">
        <f>416</f>
        <v>416</v>
      </c>
      <c r="BH416" s="13">
        <f t="shared" si="317"/>
        <v>0</v>
      </c>
      <c r="BI416" s="13">
        <f t="shared" si="318"/>
        <v>0</v>
      </c>
      <c r="BJ416" s="13">
        <f t="shared" si="319"/>
        <v>0</v>
      </c>
      <c r="BK416" s="13"/>
      <c r="BL416" s="13">
        <v>89</v>
      </c>
    </row>
    <row r="417" spans="1:64" ht="15" customHeight="1">
      <c r="A417" s="11" t="s">
        <v>947</v>
      </c>
      <c r="B417" s="48" t="s">
        <v>1242</v>
      </c>
      <c r="C417" s="48" t="s">
        <v>6</v>
      </c>
      <c r="D417" s="61" t="s">
        <v>1359</v>
      </c>
      <c r="E417" s="61"/>
      <c r="F417" s="61"/>
      <c r="G417" s="61"/>
      <c r="H417" s="48" t="s">
        <v>1018</v>
      </c>
      <c r="I417" s="13">
        <v>461.055</v>
      </c>
      <c r="J417" s="13">
        <v>0</v>
      </c>
      <c r="K417" s="13">
        <f t="shared" si="298"/>
        <v>0</v>
      </c>
      <c r="L417" s="13">
        <f t="shared" si="299"/>
        <v>0</v>
      </c>
      <c r="M417" s="13">
        <f t="shared" si="300"/>
        <v>0</v>
      </c>
      <c r="N417" s="13">
        <v>8E-05</v>
      </c>
      <c r="O417" s="10" t="s">
        <v>851</v>
      </c>
      <c r="Z417" s="13">
        <f t="shared" si="301"/>
        <v>0</v>
      </c>
      <c r="AB417" s="13">
        <f t="shared" si="302"/>
        <v>0</v>
      </c>
      <c r="AC417" s="13">
        <f t="shared" si="303"/>
        <v>0</v>
      </c>
      <c r="AD417" s="13">
        <f t="shared" si="304"/>
        <v>0</v>
      </c>
      <c r="AE417" s="13">
        <f t="shared" si="305"/>
        <v>0</v>
      </c>
      <c r="AF417" s="13">
        <f t="shared" si="306"/>
        <v>0</v>
      </c>
      <c r="AG417" s="13">
        <f t="shared" si="307"/>
        <v>0</v>
      </c>
      <c r="AH417" s="13">
        <f t="shared" si="308"/>
        <v>0</v>
      </c>
      <c r="AI417" s="21" t="s">
        <v>1242</v>
      </c>
      <c r="AJ417" s="13">
        <f t="shared" si="309"/>
        <v>0</v>
      </c>
      <c r="AK417" s="13">
        <f t="shared" si="310"/>
        <v>0</v>
      </c>
      <c r="AL417" s="13">
        <f t="shared" si="311"/>
        <v>0</v>
      </c>
      <c r="AN417" s="13">
        <v>21</v>
      </c>
      <c r="AO417" s="13">
        <f>J417*0.591899405480629</f>
        <v>0</v>
      </c>
      <c r="AP417" s="13">
        <f>J417*(1-0.591899405480629)</f>
        <v>0</v>
      </c>
      <c r="AQ417" s="32" t="s">
        <v>1231</v>
      </c>
      <c r="AV417" s="13">
        <f t="shared" si="312"/>
        <v>0</v>
      </c>
      <c r="AW417" s="13">
        <f t="shared" si="313"/>
        <v>0</v>
      </c>
      <c r="AX417" s="13">
        <f t="shared" si="314"/>
        <v>0</v>
      </c>
      <c r="AY417" s="32" t="s">
        <v>98</v>
      </c>
      <c r="AZ417" s="32" t="s">
        <v>141</v>
      </c>
      <c r="BA417" s="21" t="s">
        <v>129</v>
      </c>
      <c r="BC417" s="13">
        <f t="shared" si="315"/>
        <v>0</v>
      </c>
      <c r="BD417" s="13">
        <f t="shared" si="316"/>
        <v>0</v>
      </c>
      <c r="BE417" s="13">
        <v>0</v>
      </c>
      <c r="BF417" s="13">
        <f>417</f>
        <v>417</v>
      </c>
      <c r="BH417" s="13">
        <f t="shared" si="317"/>
        <v>0</v>
      </c>
      <c r="BI417" s="13">
        <f t="shared" si="318"/>
        <v>0</v>
      </c>
      <c r="BJ417" s="13">
        <f t="shared" si="319"/>
        <v>0</v>
      </c>
      <c r="BK417" s="13"/>
      <c r="BL417" s="13">
        <v>89</v>
      </c>
    </row>
    <row r="418" spans="1:64" ht="15" customHeight="1">
      <c r="A418" s="11" t="s">
        <v>429</v>
      </c>
      <c r="B418" s="48" t="s">
        <v>1242</v>
      </c>
      <c r="C418" s="48" t="s">
        <v>1169</v>
      </c>
      <c r="D418" s="61" t="s">
        <v>476</v>
      </c>
      <c r="E418" s="61"/>
      <c r="F418" s="61"/>
      <c r="G418" s="61"/>
      <c r="H418" s="48" t="s">
        <v>299</v>
      </c>
      <c r="I418" s="13">
        <v>2</v>
      </c>
      <c r="J418" s="13">
        <v>0</v>
      </c>
      <c r="K418" s="13">
        <f t="shared" si="298"/>
        <v>0</v>
      </c>
      <c r="L418" s="13">
        <f t="shared" si="299"/>
        <v>0</v>
      </c>
      <c r="M418" s="13">
        <f t="shared" si="300"/>
        <v>0</v>
      </c>
      <c r="N418" s="13">
        <v>0.00011</v>
      </c>
      <c r="O418" s="10" t="s">
        <v>851</v>
      </c>
      <c r="Z418" s="13">
        <f t="shared" si="301"/>
        <v>0</v>
      </c>
      <c r="AB418" s="13">
        <f t="shared" si="302"/>
        <v>0</v>
      </c>
      <c r="AC418" s="13">
        <f t="shared" si="303"/>
        <v>0</v>
      </c>
      <c r="AD418" s="13">
        <f t="shared" si="304"/>
        <v>0</v>
      </c>
      <c r="AE418" s="13">
        <f t="shared" si="305"/>
        <v>0</v>
      </c>
      <c r="AF418" s="13">
        <f t="shared" si="306"/>
        <v>0</v>
      </c>
      <c r="AG418" s="13">
        <f t="shared" si="307"/>
        <v>0</v>
      </c>
      <c r="AH418" s="13">
        <f t="shared" si="308"/>
        <v>0</v>
      </c>
      <c r="AI418" s="21" t="s">
        <v>1242</v>
      </c>
      <c r="AJ418" s="13">
        <f t="shared" si="309"/>
        <v>0</v>
      </c>
      <c r="AK418" s="13">
        <f t="shared" si="310"/>
        <v>0</v>
      </c>
      <c r="AL418" s="13">
        <f t="shared" si="311"/>
        <v>0</v>
      </c>
      <c r="AN418" s="13">
        <v>21</v>
      </c>
      <c r="AO418" s="13">
        <f>J418*0.119145108991503</f>
        <v>0</v>
      </c>
      <c r="AP418" s="13">
        <f>J418*(1-0.119145108991503)</f>
        <v>0</v>
      </c>
      <c r="AQ418" s="32" t="s">
        <v>1231</v>
      </c>
      <c r="AV418" s="13">
        <f t="shared" si="312"/>
        <v>0</v>
      </c>
      <c r="AW418" s="13">
        <f t="shared" si="313"/>
        <v>0</v>
      </c>
      <c r="AX418" s="13">
        <f t="shared" si="314"/>
        <v>0</v>
      </c>
      <c r="AY418" s="32" t="s">
        <v>98</v>
      </c>
      <c r="AZ418" s="32" t="s">
        <v>141</v>
      </c>
      <c r="BA418" s="21" t="s">
        <v>129</v>
      </c>
      <c r="BC418" s="13">
        <f t="shared" si="315"/>
        <v>0</v>
      </c>
      <c r="BD418" s="13">
        <f t="shared" si="316"/>
        <v>0</v>
      </c>
      <c r="BE418" s="13">
        <v>0</v>
      </c>
      <c r="BF418" s="13">
        <f>418</f>
        <v>418</v>
      </c>
      <c r="BH418" s="13">
        <f t="shared" si="317"/>
        <v>0</v>
      </c>
      <c r="BI418" s="13">
        <f t="shared" si="318"/>
        <v>0</v>
      </c>
      <c r="BJ418" s="13">
        <f t="shared" si="319"/>
        <v>0</v>
      </c>
      <c r="BK418" s="13"/>
      <c r="BL418" s="13">
        <v>89</v>
      </c>
    </row>
    <row r="419" spans="1:64" ht="15" customHeight="1">
      <c r="A419" s="11" t="s">
        <v>463</v>
      </c>
      <c r="B419" s="48" t="s">
        <v>1242</v>
      </c>
      <c r="C419" s="48" t="s">
        <v>898</v>
      </c>
      <c r="D419" s="61" t="s">
        <v>426</v>
      </c>
      <c r="E419" s="61"/>
      <c r="F419" s="61"/>
      <c r="G419" s="61"/>
      <c r="H419" s="48" t="s">
        <v>299</v>
      </c>
      <c r="I419" s="13">
        <v>2</v>
      </c>
      <c r="J419" s="13">
        <v>0</v>
      </c>
      <c r="K419" s="13">
        <f t="shared" si="298"/>
        <v>0</v>
      </c>
      <c r="L419" s="13">
        <f t="shared" si="299"/>
        <v>0</v>
      </c>
      <c r="M419" s="13">
        <f t="shared" si="300"/>
        <v>0</v>
      </c>
      <c r="N419" s="13">
        <v>0.32906</v>
      </c>
      <c r="O419" s="10" t="s">
        <v>851</v>
      </c>
      <c r="Z419" s="13">
        <f t="shared" si="301"/>
        <v>0</v>
      </c>
      <c r="AB419" s="13">
        <f t="shared" si="302"/>
        <v>0</v>
      </c>
      <c r="AC419" s="13">
        <f t="shared" si="303"/>
        <v>0</v>
      </c>
      <c r="AD419" s="13">
        <f t="shared" si="304"/>
        <v>0</v>
      </c>
      <c r="AE419" s="13">
        <f t="shared" si="305"/>
        <v>0</v>
      </c>
      <c r="AF419" s="13">
        <f t="shared" si="306"/>
        <v>0</v>
      </c>
      <c r="AG419" s="13">
        <f t="shared" si="307"/>
        <v>0</v>
      </c>
      <c r="AH419" s="13">
        <f t="shared" si="308"/>
        <v>0</v>
      </c>
      <c r="AI419" s="21" t="s">
        <v>1242</v>
      </c>
      <c r="AJ419" s="13">
        <f t="shared" si="309"/>
        <v>0</v>
      </c>
      <c r="AK419" s="13">
        <f t="shared" si="310"/>
        <v>0</v>
      </c>
      <c r="AL419" s="13">
        <f t="shared" si="311"/>
        <v>0</v>
      </c>
      <c r="AN419" s="13">
        <v>21</v>
      </c>
      <c r="AO419" s="13">
        <f>J419*0.559852502674527</f>
        <v>0</v>
      </c>
      <c r="AP419" s="13">
        <f>J419*(1-0.559852502674527)</f>
        <v>0</v>
      </c>
      <c r="AQ419" s="32" t="s">
        <v>1231</v>
      </c>
      <c r="AV419" s="13">
        <f t="shared" si="312"/>
        <v>0</v>
      </c>
      <c r="AW419" s="13">
        <f t="shared" si="313"/>
        <v>0</v>
      </c>
      <c r="AX419" s="13">
        <f t="shared" si="314"/>
        <v>0</v>
      </c>
      <c r="AY419" s="32" t="s">
        <v>98</v>
      </c>
      <c r="AZ419" s="32" t="s">
        <v>141</v>
      </c>
      <c r="BA419" s="21" t="s">
        <v>129</v>
      </c>
      <c r="BC419" s="13">
        <f t="shared" si="315"/>
        <v>0</v>
      </c>
      <c r="BD419" s="13">
        <f t="shared" si="316"/>
        <v>0</v>
      </c>
      <c r="BE419" s="13">
        <v>0</v>
      </c>
      <c r="BF419" s="13">
        <f>419</f>
        <v>419</v>
      </c>
      <c r="BH419" s="13">
        <f t="shared" si="317"/>
        <v>0</v>
      </c>
      <c r="BI419" s="13">
        <f t="shared" si="318"/>
        <v>0</v>
      </c>
      <c r="BJ419" s="13">
        <f t="shared" si="319"/>
        <v>0</v>
      </c>
      <c r="BK419" s="13"/>
      <c r="BL419" s="13">
        <v>89</v>
      </c>
    </row>
    <row r="420" spans="1:64" ht="15" customHeight="1">
      <c r="A420" s="11" t="s">
        <v>1239</v>
      </c>
      <c r="B420" s="48" t="s">
        <v>1242</v>
      </c>
      <c r="C420" s="48" t="s">
        <v>1033</v>
      </c>
      <c r="D420" s="61" t="s">
        <v>1331</v>
      </c>
      <c r="E420" s="61"/>
      <c r="F420" s="61"/>
      <c r="G420" s="61"/>
      <c r="H420" s="48" t="s">
        <v>299</v>
      </c>
      <c r="I420" s="13">
        <v>2</v>
      </c>
      <c r="J420" s="13">
        <v>0</v>
      </c>
      <c r="K420" s="13">
        <f t="shared" si="298"/>
        <v>0</v>
      </c>
      <c r="L420" s="13">
        <f t="shared" si="299"/>
        <v>0</v>
      </c>
      <c r="M420" s="13">
        <f t="shared" si="300"/>
        <v>0</v>
      </c>
      <c r="N420" s="13">
        <v>0.0019</v>
      </c>
      <c r="O420" s="10" t="s">
        <v>851</v>
      </c>
      <c r="Z420" s="13">
        <f t="shared" si="301"/>
        <v>0</v>
      </c>
      <c r="AB420" s="13">
        <f t="shared" si="302"/>
        <v>0</v>
      </c>
      <c r="AC420" s="13">
        <f t="shared" si="303"/>
        <v>0</v>
      </c>
      <c r="AD420" s="13">
        <f t="shared" si="304"/>
        <v>0</v>
      </c>
      <c r="AE420" s="13">
        <f t="shared" si="305"/>
        <v>0</v>
      </c>
      <c r="AF420" s="13">
        <f t="shared" si="306"/>
        <v>0</v>
      </c>
      <c r="AG420" s="13">
        <f t="shared" si="307"/>
        <v>0</v>
      </c>
      <c r="AH420" s="13">
        <f t="shared" si="308"/>
        <v>0</v>
      </c>
      <c r="AI420" s="21" t="s">
        <v>1242</v>
      </c>
      <c r="AJ420" s="13">
        <f t="shared" si="309"/>
        <v>0</v>
      </c>
      <c r="AK420" s="13">
        <f t="shared" si="310"/>
        <v>0</v>
      </c>
      <c r="AL420" s="13">
        <f t="shared" si="311"/>
        <v>0</v>
      </c>
      <c r="AN420" s="13">
        <v>21</v>
      </c>
      <c r="AO420" s="13">
        <f>J420*1</f>
        <v>0</v>
      </c>
      <c r="AP420" s="13">
        <f>J420*(1-1)</f>
        <v>0</v>
      </c>
      <c r="AQ420" s="32" t="s">
        <v>1231</v>
      </c>
      <c r="AV420" s="13">
        <f t="shared" si="312"/>
        <v>0</v>
      </c>
      <c r="AW420" s="13">
        <f t="shared" si="313"/>
        <v>0</v>
      </c>
      <c r="AX420" s="13">
        <f t="shared" si="314"/>
        <v>0</v>
      </c>
      <c r="AY420" s="32" t="s">
        <v>98</v>
      </c>
      <c r="AZ420" s="32" t="s">
        <v>141</v>
      </c>
      <c r="BA420" s="21" t="s">
        <v>129</v>
      </c>
      <c r="BC420" s="13">
        <f t="shared" si="315"/>
        <v>0</v>
      </c>
      <c r="BD420" s="13">
        <f t="shared" si="316"/>
        <v>0</v>
      </c>
      <c r="BE420" s="13">
        <v>0</v>
      </c>
      <c r="BF420" s="13">
        <f>420</f>
        <v>420</v>
      </c>
      <c r="BH420" s="13">
        <f t="shared" si="317"/>
        <v>0</v>
      </c>
      <c r="BI420" s="13">
        <f t="shared" si="318"/>
        <v>0</v>
      </c>
      <c r="BJ420" s="13">
        <f t="shared" si="319"/>
        <v>0</v>
      </c>
      <c r="BK420" s="13"/>
      <c r="BL420" s="13">
        <v>89</v>
      </c>
    </row>
    <row r="421" spans="1:64" ht="15" customHeight="1">
      <c r="A421" s="11" t="s">
        <v>282</v>
      </c>
      <c r="B421" s="48" t="s">
        <v>1242</v>
      </c>
      <c r="C421" s="48" t="s">
        <v>981</v>
      </c>
      <c r="D421" s="61" t="s">
        <v>780</v>
      </c>
      <c r="E421" s="61"/>
      <c r="F421" s="61"/>
      <c r="G421" s="61"/>
      <c r="H421" s="48" t="s">
        <v>299</v>
      </c>
      <c r="I421" s="13">
        <v>1</v>
      </c>
      <c r="J421" s="13">
        <v>0</v>
      </c>
      <c r="K421" s="13">
        <f t="shared" si="298"/>
        <v>0</v>
      </c>
      <c r="L421" s="13">
        <f t="shared" si="299"/>
        <v>0</v>
      </c>
      <c r="M421" s="13">
        <f t="shared" si="300"/>
        <v>0</v>
      </c>
      <c r="N421" s="13">
        <v>0.032</v>
      </c>
      <c r="O421" s="10" t="s">
        <v>851</v>
      </c>
      <c r="Z421" s="13">
        <f t="shared" si="301"/>
        <v>0</v>
      </c>
      <c r="AB421" s="13">
        <f t="shared" si="302"/>
        <v>0</v>
      </c>
      <c r="AC421" s="13">
        <f t="shared" si="303"/>
        <v>0</v>
      </c>
      <c r="AD421" s="13">
        <f t="shared" si="304"/>
        <v>0</v>
      </c>
      <c r="AE421" s="13">
        <f t="shared" si="305"/>
        <v>0</v>
      </c>
      <c r="AF421" s="13">
        <f t="shared" si="306"/>
        <v>0</v>
      </c>
      <c r="AG421" s="13">
        <f t="shared" si="307"/>
        <v>0</v>
      </c>
      <c r="AH421" s="13">
        <f t="shared" si="308"/>
        <v>0</v>
      </c>
      <c r="AI421" s="21" t="s">
        <v>1242</v>
      </c>
      <c r="AJ421" s="13">
        <f t="shared" si="309"/>
        <v>0</v>
      </c>
      <c r="AK421" s="13">
        <f t="shared" si="310"/>
        <v>0</v>
      </c>
      <c r="AL421" s="13">
        <f t="shared" si="311"/>
        <v>0</v>
      </c>
      <c r="AN421" s="13">
        <v>21</v>
      </c>
      <c r="AO421" s="13">
        <f>J421*1</f>
        <v>0</v>
      </c>
      <c r="AP421" s="13">
        <f>J421*(1-1)</f>
        <v>0</v>
      </c>
      <c r="AQ421" s="32" t="s">
        <v>1231</v>
      </c>
      <c r="AV421" s="13">
        <f t="shared" si="312"/>
        <v>0</v>
      </c>
      <c r="AW421" s="13">
        <f t="shared" si="313"/>
        <v>0</v>
      </c>
      <c r="AX421" s="13">
        <f t="shared" si="314"/>
        <v>0</v>
      </c>
      <c r="AY421" s="32" t="s">
        <v>98</v>
      </c>
      <c r="AZ421" s="32" t="s">
        <v>141</v>
      </c>
      <c r="BA421" s="21" t="s">
        <v>129</v>
      </c>
      <c r="BC421" s="13">
        <f t="shared" si="315"/>
        <v>0</v>
      </c>
      <c r="BD421" s="13">
        <f t="shared" si="316"/>
        <v>0</v>
      </c>
      <c r="BE421" s="13">
        <v>0</v>
      </c>
      <c r="BF421" s="13">
        <f>421</f>
        <v>421</v>
      </c>
      <c r="BH421" s="13">
        <f t="shared" si="317"/>
        <v>0</v>
      </c>
      <c r="BI421" s="13">
        <f t="shared" si="318"/>
        <v>0</v>
      </c>
      <c r="BJ421" s="13">
        <f t="shared" si="319"/>
        <v>0</v>
      </c>
      <c r="BK421" s="13"/>
      <c r="BL421" s="13">
        <v>89</v>
      </c>
    </row>
    <row r="422" spans="1:64" ht="15" customHeight="1">
      <c r="A422" s="11" t="s">
        <v>19</v>
      </c>
      <c r="B422" s="48" t="s">
        <v>1242</v>
      </c>
      <c r="C422" s="48" t="s">
        <v>684</v>
      </c>
      <c r="D422" s="61" t="s">
        <v>1240</v>
      </c>
      <c r="E422" s="61"/>
      <c r="F422" s="61"/>
      <c r="G422" s="61"/>
      <c r="H422" s="48" t="s">
        <v>299</v>
      </c>
      <c r="I422" s="13">
        <v>47</v>
      </c>
      <c r="J422" s="13">
        <v>0</v>
      </c>
      <c r="K422" s="13">
        <f t="shared" si="298"/>
        <v>0</v>
      </c>
      <c r="L422" s="13">
        <f t="shared" si="299"/>
        <v>0</v>
      </c>
      <c r="M422" s="13">
        <f t="shared" si="300"/>
        <v>0</v>
      </c>
      <c r="N422" s="13">
        <v>0</v>
      </c>
      <c r="O422" s="10" t="s">
        <v>851</v>
      </c>
      <c r="Z422" s="13">
        <f t="shared" si="301"/>
        <v>0</v>
      </c>
      <c r="AB422" s="13">
        <f t="shared" si="302"/>
        <v>0</v>
      </c>
      <c r="AC422" s="13">
        <f t="shared" si="303"/>
        <v>0</v>
      </c>
      <c r="AD422" s="13">
        <f t="shared" si="304"/>
        <v>0</v>
      </c>
      <c r="AE422" s="13">
        <f t="shared" si="305"/>
        <v>0</v>
      </c>
      <c r="AF422" s="13">
        <f t="shared" si="306"/>
        <v>0</v>
      </c>
      <c r="AG422" s="13">
        <f t="shared" si="307"/>
        <v>0</v>
      </c>
      <c r="AH422" s="13">
        <f t="shared" si="308"/>
        <v>0</v>
      </c>
      <c r="AI422" s="21" t="s">
        <v>1242</v>
      </c>
      <c r="AJ422" s="13">
        <f t="shared" si="309"/>
        <v>0</v>
      </c>
      <c r="AK422" s="13">
        <f t="shared" si="310"/>
        <v>0</v>
      </c>
      <c r="AL422" s="13">
        <f t="shared" si="311"/>
        <v>0</v>
      </c>
      <c r="AN422" s="13">
        <v>21</v>
      </c>
      <c r="AO422" s="13">
        <f>J422*0</f>
        <v>0</v>
      </c>
      <c r="AP422" s="13">
        <f>J422*(1-0)</f>
        <v>0</v>
      </c>
      <c r="AQ422" s="32" t="s">
        <v>1231</v>
      </c>
      <c r="AV422" s="13">
        <f t="shared" si="312"/>
        <v>0</v>
      </c>
      <c r="AW422" s="13">
        <f t="shared" si="313"/>
        <v>0</v>
      </c>
      <c r="AX422" s="13">
        <f t="shared" si="314"/>
        <v>0</v>
      </c>
      <c r="AY422" s="32" t="s">
        <v>98</v>
      </c>
      <c r="AZ422" s="32" t="s">
        <v>141</v>
      </c>
      <c r="BA422" s="21" t="s">
        <v>129</v>
      </c>
      <c r="BC422" s="13">
        <f t="shared" si="315"/>
        <v>0</v>
      </c>
      <c r="BD422" s="13">
        <f t="shared" si="316"/>
        <v>0</v>
      </c>
      <c r="BE422" s="13">
        <v>0</v>
      </c>
      <c r="BF422" s="13">
        <f>422</f>
        <v>422</v>
      </c>
      <c r="BH422" s="13">
        <f t="shared" si="317"/>
        <v>0</v>
      </c>
      <c r="BI422" s="13">
        <f t="shared" si="318"/>
        <v>0</v>
      </c>
      <c r="BJ422" s="13">
        <f t="shared" si="319"/>
        <v>0</v>
      </c>
      <c r="BK422" s="13"/>
      <c r="BL422" s="13">
        <v>89</v>
      </c>
    </row>
    <row r="423" spans="1:64" ht="15" customHeight="1">
      <c r="A423" s="11" t="s">
        <v>291</v>
      </c>
      <c r="B423" s="48" t="s">
        <v>1242</v>
      </c>
      <c r="C423" s="48" t="s">
        <v>329</v>
      </c>
      <c r="D423" s="61" t="s">
        <v>321</v>
      </c>
      <c r="E423" s="61"/>
      <c r="F423" s="61"/>
      <c r="G423" s="61"/>
      <c r="H423" s="48" t="s">
        <v>299</v>
      </c>
      <c r="I423" s="13">
        <v>47</v>
      </c>
      <c r="J423" s="13">
        <v>0</v>
      </c>
      <c r="K423" s="13">
        <f t="shared" si="298"/>
        <v>0</v>
      </c>
      <c r="L423" s="13">
        <f t="shared" si="299"/>
        <v>0</v>
      </c>
      <c r="M423" s="13">
        <f t="shared" si="300"/>
        <v>0</v>
      </c>
      <c r="N423" s="13">
        <v>0.003</v>
      </c>
      <c r="O423" s="10" t="s">
        <v>851</v>
      </c>
      <c r="Z423" s="13">
        <f t="shared" si="301"/>
        <v>0</v>
      </c>
      <c r="AB423" s="13">
        <f t="shared" si="302"/>
        <v>0</v>
      </c>
      <c r="AC423" s="13">
        <f t="shared" si="303"/>
        <v>0</v>
      </c>
      <c r="AD423" s="13">
        <f t="shared" si="304"/>
        <v>0</v>
      </c>
      <c r="AE423" s="13">
        <f t="shared" si="305"/>
        <v>0</v>
      </c>
      <c r="AF423" s="13">
        <f t="shared" si="306"/>
        <v>0</v>
      </c>
      <c r="AG423" s="13">
        <f t="shared" si="307"/>
        <v>0</v>
      </c>
      <c r="AH423" s="13">
        <f t="shared" si="308"/>
        <v>0</v>
      </c>
      <c r="AI423" s="21" t="s">
        <v>1242</v>
      </c>
      <c r="AJ423" s="13">
        <f t="shared" si="309"/>
        <v>0</v>
      </c>
      <c r="AK423" s="13">
        <f t="shared" si="310"/>
        <v>0</v>
      </c>
      <c r="AL423" s="13">
        <f t="shared" si="311"/>
        <v>0</v>
      </c>
      <c r="AN423" s="13">
        <v>21</v>
      </c>
      <c r="AO423" s="13">
        <f>J423*1</f>
        <v>0</v>
      </c>
      <c r="AP423" s="13">
        <f>J423*(1-1)</f>
        <v>0</v>
      </c>
      <c r="AQ423" s="32" t="s">
        <v>1231</v>
      </c>
      <c r="AV423" s="13">
        <f t="shared" si="312"/>
        <v>0</v>
      </c>
      <c r="AW423" s="13">
        <f t="shared" si="313"/>
        <v>0</v>
      </c>
      <c r="AX423" s="13">
        <f t="shared" si="314"/>
        <v>0</v>
      </c>
      <c r="AY423" s="32" t="s">
        <v>98</v>
      </c>
      <c r="AZ423" s="32" t="s">
        <v>141</v>
      </c>
      <c r="BA423" s="21" t="s">
        <v>129</v>
      </c>
      <c r="BC423" s="13">
        <f t="shared" si="315"/>
        <v>0</v>
      </c>
      <c r="BD423" s="13">
        <f t="shared" si="316"/>
        <v>0</v>
      </c>
      <c r="BE423" s="13">
        <v>0</v>
      </c>
      <c r="BF423" s="13">
        <f>423</f>
        <v>423</v>
      </c>
      <c r="BH423" s="13">
        <f t="shared" si="317"/>
        <v>0</v>
      </c>
      <c r="BI423" s="13">
        <f t="shared" si="318"/>
        <v>0</v>
      </c>
      <c r="BJ423" s="13">
        <f t="shared" si="319"/>
        <v>0</v>
      </c>
      <c r="BK423" s="13"/>
      <c r="BL423" s="13">
        <v>89</v>
      </c>
    </row>
    <row r="424" spans="1:64" ht="15" customHeight="1">
      <c r="A424" s="11" t="s">
        <v>369</v>
      </c>
      <c r="B424" s="48" t="s">
        <v>1242</v>
      </c>
      <c r="C424" s="48" t="s">
        <v>312</v>
      </c>
      <c r="D424" s="61" t="s">
        <v>43</v>
      </c>
      <c r="E424" s="61"/>
      <c r="F424" s="61"/>
      <c r="G424" s="61"/>
      <c r="H424" s="48" t="s">
        <v>299</v>
      </c>
      <c r="I424" s="13">
        <v>47</v>
      </c>
      <c r="J424" s="13">
        <v>0</v>
      </c>
      <c r="K424" s="13">
        <f t="shared" si="298"/>
        <v>0</v>
      </c>
      <c r="L424" s="13">
        <f t="shared" si="299"/>
        <v>0</v>
      </c>
      <c r="M424" s="13">
        <f t="shared" si="300"/>
        <v>0</v>
      </c>
      <c r="N424" s="13">
        <v>0.00268</v>
      </c>
      <c r="O424" s="10" t="s">
        <v>851</v>
      </c>
      <c r="Z424" s="13">
        <f t="shared" si="301"/>
        <v>0</v>
      </c>
      <c r="AB424" s="13">
        <f t="shared" si="302"/>
        <v>0</v>
      </c>
      <c r="AC424" s="13">
        <f t="shared" si="303"/>
        <v>0</v>
      </c>
      <c r="AD424" s="13">
        <f t="shared" si="304"/>
        <v>0</v>
      </c>
      <c r="AE424" s="13">
        <f t="shared" si="305"/>
        <v>0</v>
      </c>
      <c r="AF424" s="13">
        <f t="shared" si="306"/>
        <v>0</v>
      </c>
      <c r="AG424" s="13">
        <f t="shared" si="307"/>
        <v>0</v>
      </c>
      <c r="AH424" s="13">
        <f t="shared" si="308"/>
        <v>0</v>
      </c>
      <c r="AI424" s="21" t="s">
        <v>1242</v>
      </c>
      <c r="AJ424" s="13">
        <f t="shared" si="309"/>
        <v>0</v>
      </c>
      <c r="AK424" s="13">
        <f t="shared" si="310"/>
        <v>0</v>
      </c>
      <c r="AL424" s="13">
        <f t="shared" si="311"/>
        <v>0</v>
      </c>
      <c r="AN424" s="13">
        <v>21</v>
      </c>
      <c r="AO424" s="13">
        <f>J424*1</f>
        <v>0</v>
      </c>
      <c r="AP424" s="13">
        <f>J424*(1-1)</f>
        <v>0</v>
      </c>
      <c r="AQ424" s="32" t="s">
        <v>1231</v>
      </c>
      <c r="AV424" s="13">
        <f t="shared" si="312"/>
        <v>0</v>
      </c>
      <c r="AW424" s="13">
        <f t="shared" si="313"/>
        <v>0</v>
      </c>
      <c r="AX424" s="13">
        <f t="shared" si="314"/>
        <v>0</v>
      </c>
      <c r="AY424" s="32" t="s">
        <v>98</v>
      </c>
      <c r="AZ424" s="32" t="s">
        <v>141</v>
      </c>
      <c r="BA424" s="21" t="s">
        <v>129</v>
      </c>
      <c r="BC424" s="13">
        <f t="shared" si="315"/>
        <v>0</v>
      </c>
      <c r="BD424" s="13">
        <f t="shared" si="316"/>
        <v>0</v>
      </c>
      <c r="BE424" s="13">
        <v>0</v>
      </c>
      <c r="BF424" s="13">
        <f>424</f>
        <v>424</v>
      </c>
      <c r="BH424" s="13">
        <f t="shared" si="317"/>
        <v>0</v>
      </c>
      <c r="BI424" s="13">
        <f t="shared" si="318"/>
        <v>0</v>
      </c>
      <c r="BJ424" s="13">
        <f t="shared" si="319"/>
        <v>0</v>
      </c>
      <c r="BK424" s="13"/>
      <c r="BL424" s="13">
        <v>89</v>
      </c>
    </row>
    <row r="425" spans="1:64" ht="15" customHeight="1">
      <c r="A425" s="11" t="s">
        <v>1336</v>
      </c>
      <c r="B425" s="48" t="s">
        <v>1242</v>
      </c>
      <c r="C425" s="48" t="s">
        <v>82</v>
      </c>
      <c r="D425" s="61" t="s">
        <v>331</v>
      </c>
      <c r="E425" s="61"/>
      <c r="F425" s="61"/>
      <c r="G425" s="61"/>
      <c r="H425" s="48" t="s">
        <v>299</v>
      </c>
      <c r="I425" s="13">
        <v>47</v>
      </c>
      <c r="J425" s="13">
        <v>0</v>
      </c>
      <c r="K425" s="13">
        <f t="shared" si="298"/>
        <v>0</v>
      </c>
      <c r="L425" s="13">
        <f t="shared" si="299"/>
        <v>0</v>
      </c>
      <c r="M425" s="13">
        <f t="shared" si="300"/>
        <v>0</v>
      </c>
      <c r="N425" s="13">
        <v>0.004</v>
      </c>
      <c r="O425" s="10" t="s">
        <v>851</v>
      </c>
      <c r="Z425" s="13">
        <f t="shared" si="301"/>
        <v>0</v>
      </c>
      <c r="AB425" s="13">
        <f t="shared" si="302"/>
        <v>0</v>
      </c>
      <c r="AC425" s="13">
        <f t="shared" si="303"/>
        <v>0</v>
      </c>
      <c r="AD425" s="13">
        <f t="shared" si="304"/>
        <v>0</v>
      </c>
      <c r="AE425" s="13">
        <f t="shared" si="305"/>
        <v>0</v>
      </c>
      <c r="AF425" s="13">
        <f t="shared" si="306"/>
        <v>0</v>
      </c>
      <c r="AG425" s="13">
        <f t="shared" si="307"/>
        <v>0</v>
      </c>
      <c r="AH425" s="13">
        <f t="shared" si="308"/>
        <v>0</v>
      </c>
      <c r="AI425" s="21" t="s">
        <v>1242</v>
      </c>
      <c r="AJ425" s="13">
        <f t="shared" si="309"/>
        <v>0</v>
      </c>
      <c r="AK425" s="13">
        <f t="shared" si="310"/>
        <v>0</v>
      </c>
      <c r="AL425" s="13">
        <f t="shared" si="311"/>
        <v>0</v>
      </c>
      <c r="AN425" s="13">
        <v>21</v>
      </c>
      <c r="AO425" s="13">
        <f>J425*1</f>
        <v>0</v>
      </c>
      <c r="AP425" s="13">
        <f>J425*(1-1)</f>
        <v>0</v>
      </c>
      <c r="AQ425" s="32" t="s">
        <v>1231</v>
      </c>
      <c r="AV425" s="13">
        <f t="shared" si="312"/>
        <v>0</v>
      </c>
      <c r="AW425" s="13">
        <f t="shared" si="313"/>
        <v>0</v>
      </c>
      <c r="AX425" s="13">
        <f t="shared" si="314"/>
        <v>0</v>
      </c>
      <c r="AY425" s="32" t="s">
        <v>98</v>
      </c>
      <c r="AZ425" s="32" t="s">
        <v>141</v>
      </c>
      <c r="BA425" s="21" t="s">
        <v>129</v>
      </c>
      <c r="BC425" s="13">
        <f t="shared" si="315"/>
        <v>0</v>
      </c>
      <c r="BD425" s="13">
        <f t="shared" si="316"/>
        <v>0</v>
      </c>
      <c r="BE425" s="13">
        <v>0</v>
      </c>
      <c r="BF425" s="13">
        <f>425</f>
        <v>425</v>
      </c>
      <c r="BH425" s="13">
        <f t="shared" si="317"/>
        <v>0</v>
      </c>
      <c r="BI425" s="13">
        <f t="shared" si="318"/>
        <v>0</v>
      </c>
      <c r="BJ425" s="13">
        <f t="shared" si="319"/>
        <v>0</v>
      </c>
      <c r="BK425" s="13"/>
      <c r="BL425" s="13">
        <v>89</v>
      </c>
    </row>
    <row r="426" spans="1:47" ht="15" customHeight="1">
      <c r="A426" s="30" t="s">
        <v>862</v>
      </c>
      <c r="B426" s="18" t="s">
        <v>1242</v>
      </c>
      <c r="C426" s="18" t="s">
        <v>55</v>
      </c>
      <c r="D426" s="73" t="s">
        <v>435</v>
      </c>
      <c r="E426" s="73"/>
      <c r="F426" s="73"/>
      <c r="G426" s="73"/>
      <c r="H426" s="15" t="s">
        <v>1148</v>
      </c>
      <c r="I426" s="15" t="s">
        <v>1148</v>
      </c>
      <c r="J426" s="15" t="s">
        <v>1148</v>
      </c>
      <c r="K426" s="56">
        <f>SUM(K427:K427)</f>
        <v>0</v>
      </c>
      <c r="L426" s="56">
        <f>SUM(L427:L427)</f>
        <v>0</v>
      </c>
      <c r="M426" s="56">
        <f>SUM(M427:M427)</f>
        <v>0</v>
      </c>
      <c r="N426" s="21" t="s">
        <v>862</v>
      </c>
      <c r="O426" s="47" t="s">
        <v>862</v>
      </c>
      <c r="AI426" s="21" t="s">
        <v>1242</v>
      </c>
      <c r="AS426" s="56">
        <f>SUM(AJ427:AJ427)</f>
        <v>0</v>
      </c>
      <c r="AT426" s="56">
        <f>SUM(AK427:AK427)</f>
        <v>0</v>
      </c>
      <c r="AU426" s="56">
        <f>SUM(AL427:AL427)</f>
        <v>0</v>
      </c>
    </row>
    <row r="427" spans="1:64" ht="15" customHeight="1">
      <c r="A427" s="11" t="s">
        <v>123</v>
      </c>
      <c r="B427" s="48" t="s">
        <v>1242</v>
      </c>
      <c r="C427" s="48" t="s">
        <v>22</v>
      </c>
      <c r="D427" s="61" t="s">
        <v>1259</v>
      </c>
      <c r="E427" s="61"/>
      <c r="F427" s="61"/>
      <c r="G427" s="61"/>
      <c r="H427" s="48" t="s">
        <v>1018</v>
      </c>
      <c r="I427" s="13">
        <v>712.2</v>
      </c>
      <c r="J427" s="13">
        <v>0</v>
      </c>
      <c r="K427" s="13">
        <f>I427*AO427</f>
        <v>0</v>
      </c>
      <c r="L427" s="13">
        <f>I427*AP427</f>
        <v>0</v>
      </c>
      <c r="M427" s="13">
        <f>I427*J427</f>
        <v>0</v>
      </c>
      <c r="N427" s="13">
        <v>0</v>
      </c>
      <c r="O427" s="10" t="s">
        <v>851</v>
      </c>
      <c r="Z427" s="13">
        <f>IF(AQ427="5",BJ427,0)</f>
        <v>0</v>
      </c>
      <c r="AB427" s="13">
        <f>IF(AQ427="1",BH427,0)</f>
        <v>0</v>
      </c>
      <c r="AC427" s="13">
        <f>IF(AQ427="1",BI427,0)</f>
        <v>0</v>
      </c>
      <c r="AD427" s="13">
        <f>IF(AQ427="7",BH427,0)</f>
        <v>0</v>
      </c>
      <c r="AE427" s="13">
        <f>IF(AQ427="7",BI427,0)</f>
        <v>0</v>
      </c>
      <c r="AF427" s="13">
        <f>IF(AQ427="2",BH427,0)</f>
        <v>0</v>
      </c>
      <c r="AG427" s="13">
        <f>IF(AQ427="2",BI427,0)</f>
        <v>0</v>
      </c>
      <c r="AH427" s="13">
        <f>IF(AQ427="0",BJ427,0)</f>
        <v>0</v>
      </c>
      <c r="AI427" s="21" t="s">
        <v>1242</v>
      </c>
      <c r="AJ427" s="13">
        <f>IF(AN427=0,M427,0)</f>
        <v>0</v>
      </c>
      <c r="AK427" s="13">
        <f>IF(AN427=15,M427,0)</f>
        <v>0</v>
      </c>
      <c r="AL427" s="13">
        <f>IF(AN427=21,M427,0)</f>
        <v>0</v>
      </c>
      <c r="AN427" s="13">
        <v>21</v>
      </c>
      <c r="AO427" s="13">
        <f>J427*0.56381817984467</f>
        <v>0</v>
      </c>
      <c r="AP427" s="13">
        <f>J427*(1-0.56381817984467)</f>
        <v>0</v>
      </c>
      <c r="AQ427" s="32" t="s">
        <v>1231</v>
      </c>
      <c r="AV427" s="13">
        <f>AW427+AX427</f>
        <v>0</v>
      </c>
      <c r="AW427" s="13">
        <f>I427*AO427</f>
        <v>0</v>
      </c>
      <c r="AX427" s="13">
        <f>I427*AP427</f>
        <v>0</v>
      </c>
      <c r="AY427" s="32" t="s">
        <v>1206</v>
      </c>
      <c r="AZ427" s="32" t="s">
        <v>944</v>
      </c>
      <c r="BA427" s="21" t="s">
        <v>129</v>
      </c>
      <c r="BC427" s="13">
        <f>AW427+AX427</f>
        <v>0</v>
      </c>
      <c r="BD427" s="13">
        <f>J427/(100-BE427)*100</f>
        <v>0</v>
      </c>
      <c r="BE427" s="13">
        <v>0</v>
      </c>
      <c r="BF427" s="13">
        <f>427</f>
        <v>427</v>
      </c>
      <c r="BH427" s="13">
        <f>I427*AO427</f>
        <v>0</v>
      </c>
      <c r="BI427" s="13">
        <f>I427*AP427</f>
        <v>0</v>
      </c>
      <c r="BJ427" s="13">
        <f>I427*J427</f>
        <v>0</v>
      </c>
      <c r="BK427" s="13"/>
      <c r="BL427" s="13">
        <v>91</v>
      </c>
    </row>
    <row r="428" spans="1:47" ht="15" customHeight="1">
      <c r="A428" s="30" t="s">
        <v>862</v>
      </c>
      <c r="B428" s="18" t="s">
        <v>1242</v>
      </c>
      <c r="C428" s="18" t="s">
        <v>1305</v>
      </c>
      <c r="D428" s="73" t="s">
        <v>913</v>
      </c>
      <c r="E428" s="73"/>
      <c r="F428" s="73"/>
      <c r="G428" s="73"/>
      <c r="H428" s="15" t="s">
        <v>1148</v>
      </c>
      <c r="I428" s="15" t="s">
        <v>1148</v>
      </c>
      <c r="J428" s="15" t="s">
        <v>1148</v>
      </c>
      <c r="K428" s="56">
        <f>SUM(K429:K434)</f>
        <v>0</v>
      </c>
      <c r="L428" s="56">
        <f>SUM(L429:L434)</f>
        <v>0</v>
      </c>
      <c r="M428" s="56">
        <f>SUM(M429:M434)</f>
        <v>0</v>
      </c>
      <c r="N428" s="21" t="s">
        <v>862</v>
      </c>
      <c r="O428" s="47" t="s">
        <v>862</v>
      </c>
      <c r="AI428" s="21" t="s">
        <v>1242</v>
      </c>
      <c r="AS428" s="56">
        <f>SUM(AJ429:AJ434)</f>
        <v>0</v>
      </c>
      <c r="AT428" s="56">
        <f>SUM(AK429:AK434)</f>
        <v>0</v>
      </c>
      <c r="AU428" s="56">
        <f>SUM(AL429:AL434)</f>
        <v>0</v>
      </c>
    </row>
    <row r="429" spans="1:64" ht="15" customHeight="1">
      <c r="A429" s="11" t="s">
        <v>460</v>
      </c>
      <c r="B429" s="48" t="s">
        <v>1242</v>
      </c>
      <c r="C429" s="48" t="s">
        <v>375</v>
      </c>
      <c r="D429" s="61" t="s">
        <v>1142</v>
      </c>
      <c r="E429" s="61"/>
      <c r="F429" s="61"/>
      <c r="G429" s="61"/>
      <c r="H429" s="48" t="s">
        <v>1018</v>
      </c>
      <c r="I429" s="13">
        <v>4</v>
      </c>
      <c r="J429" s="13">
        <v>0</v>
      </c>
      <c r="K429" s="13">
        <f aca="true" t="shared" si="320" ref="K429:K434">I429*AO429</f>
        <v>0</v>
      </c>
      <c r="L429" s="13">
        <f aca="true" t="shared" si="321" ref="L429:L434">I429*AP429</f>
        <v>0</v>
      </c>
      <c r="M429" s="13">
        <f aca="true" t="shared" si="322" ref="M429:M434">I429*J429</f>
        <v>0</v>
      </c>
      <c r="N429" s="13">
        <v>0.02712</v>
      </c>
      <c r="O429" s="10" t="s">
        <v>851</v>
      </c>
      <c r="Z429" s="13">
        <f aca="true" t="shared" si="323" ref="Z429:Z434">IF(AQ429="5",BJ429,0)</f>
        <v>0</v>
      </c>
      <c r="AB429" s="13">
        <f aca="true" t="shared" si="324" ref="AB429:AB434">IF(AQ429="1",BH429,0)</f>
        <v>0</v>
      </c>
      <c r="AC429" s="13">
        <f aca="true" t="shared" si="325" ref="AC429:AC434">IF(AQ429="1",BI429,0)</f>
        <v>0</v>
      </c>
      <c r="AD429" s="13">
        <f aca="true" t="shared" si="326" ref="AD429:AD434">IF(AQ429="7",BH429,0)</f>
        <v>0</v>
      </c>
      <c r="AE429" s="13">
        <f aca="true" t="shared" si="327" ref="AE429:AE434">IF(AQ429="7",BI429,0)</f>
        <v>0</v>
      </c>
      <c r="AF429" s="13">
        <f aca="true" t="shared" si="328" ref="AF429:AF434">IF(AQ429="2",BH429,0)</f>
        <v>0</v>
      </c>
      <c r="AG429" s="13">
        <f aca="true" t="shared" si="329" ref="AG429:AG434">IF(AQ429="2",BI429,0)</f>
        <v>0</v>
      </c>
      <c r="AH429" s="13">
        <f aca="true" t="shared" si="330" ref="AH429:AH434">IF(AQ429="0",BJ429,0)</f>
        <v>0</v>
      </c>
      <c r="AI429" s="21" t="s">
        <v>1242</v>
      </c>
      <c r="AJ429" s="13">
        <f aca="true" t="shared" si="331" ref="AJ429:AJ434">IF(AN429=0,M429,0)</f>
        <v>0</v>
      </c>
      <c r="AK429" s="13">
        <f aca="true" t="shared" si="332" ref="AK429:AK434">IF(AN429=15,M429,0)</f>
        <v>0</v>
      </c>
      <c r="AL429" s="13">
        <f aca="true" t="shared" si="333" ref="AL429:AL434">IF(AN429=21,M429,0)</f>
        <v>0</v>
      </c>
      <c r="AN429" s="13">
        <v>21</v>
      </c>
      <c r="AO429" s="13">
        <f>J429*0.32257825568978</f>
        <v>0</v>
      </c>
      <c r="AP429" s="13">
        <f>J429*(1-0.32257825568978)</f>
        <v>0</v>
      </c>
      <c r="AQ429" s="32" t="s">
        <v>857</v>
      </c>
      <c r="AV429" s="13">
        <f aca="true" t="shared" si="334" ref="AV429:AV434">AW429+AX429</f>
        <v>0</v>
      </c>
      <c r="AW429" s="13">
        <f aca="true" t="shared" si="335" ref="AW429:AW434">I429*AO429</f>
        <v>0</v>
      </c>
      <c r="AX429" s="13">
        <f aca="true" t="shared" si="336" ref="AX429:AX434">I429*AP429</f>
        <v>0</v>
      </c>
      <c r="AY429" s="32" t="s">
        <v>1149</v>
      </c>
      <c r="AZ429" s="32" t="s">
        <v>944</v>
      </c>
      <c r="BA429" s="21" t="s">
        <v>129</v>
      </c>
      <c r="BC429" s="13">
        <f aca="true" t="shared" si="337" ref="BC429:BC434">AW429+AX429</f>
        <v>0</v>
      </c>
      <c r="BD429" s="13">
        <f aca="true" t="shared" si="338" ref="BD429:BD434">J429/(100-BE429)*100</f>
        <v>0</v>
      </c>
      <c r="BE429" s="13">
        <v>0</v>
      </c>
      <c r="BF429" s="13">
        <f>429</f>
        <v>429</v>
      </c>
      <c r="BH429" s="13">
        <f aca="true" t="shared" si="339" ref="BH429:BH434">I429*AO429</f>
        <v>0</v>
      </c>
      <c r="BI429" s="13">
        <f aca="true" t="shared" si="340" ref="BI429:BI434">I429*AP429</f>
        <v>0</v>
      </c>
      <c r="BJ429" s="13">
        <f aca="true" t="shared" si="341" ref="BJ429:BJ434">I429*J429</f>
        <v>0</v>
      </c>
      <c r="BK429" s="13"/>
      <c r="BL429" s="13"/>
    </row>
    <row r="430" spans="1:64" ht="15" customHeight="1">
      <c r="A430" s="11" t="s">
        <v>611</v>
      </c>
      <c r="B430" s="48" t="s">
        <v>1242</v>
      </c>
      <c r="C430" s="48" t="s">
        <v>102</v>
      </c>
      <c r="D430" s="61" t="s">
        <v>303</v>
      </c>
      <c r="E430" s="61"/>
      <c r="F430" s="61"/>
      <c r="G430" s="61"/>
      <c r="H430" s="48" t="s">
        <v>299</v>
      </c>
      <c r="I430" s="13">
        <v>2</v>
      </c>
      <c r="J430" s="13">
        <v>0</v>
      </c>
      <c r="K430" s="13">
        <f t="shared" si="320"/>
        <v>0</v>
      </c>
      <c r="L430" s="13">
        <f t="shared" si="321"/>
        <v>0</v>
      </c>
      <c r="M430" s="13">
        <f t="shared" si="322"/>
        <v>0</v>
      </c>
      <c r="N430" s="13">
        <v>0</v>
      </c>
      <c r="O430" s="10" t="s">
        <v>851</v>
      </c>
      <c r="Z430" s="13">
        <f t="shared" si="323"/>
        <v>0</v>
      </c>
      <c r="AB430" s="13">
        <f t="shared" si="324"/>
        <v>0</v>
      </c>
      <c r="AC430" s="13">
        <f t="shared" si="325"/>
        <v>0</v>
      </c>
      <c r="AD430" s="13">
        <f t="shared" si="326"/>
        <v>0</v>
      </c>
      <c r="AE430" s="13">
        <f t="shared" si="327"/>
        <v>0</v>
      </c>
      <c r="AF430" s="13">
        <f t="shared" si="328"/>
        <v>0</v>
      </c>
      <c r="AG430" s="13">
        <f t="shared" si="329"/>
        <v>0</v>
      </c>
      <c r="AH430" s="13">
        <f t="shared" si="330"/>
        <v>0</v>
      </c>
      <c r="AI430" s="21" t="s">
        <v>1242</v>
      </c>
      <c r="AJ430" s="13">
        <f t="shared" si="331"/>
        <v>0</v>
      </c>
      <c r="AK430" s="13">
        <f t="shared" si="332"/>
        <v>0</v>
      </c>
      <c r="AL430" s="13">
        <f t="shared" si="333"/>
        <v>0</v>
      </c>
      <c r="AN430" s="13">
        <v>21</v>
      </c>
      <c r="AO430" s="13">
        <f>J430*0</f>
        <v>0</v>
      </c>
      <c r="AP430" s="13">
        <f>J430*(1-0)</f>
        <v>0</v>
      </c>
      <c r="AQ430" s="32" t="s">
        <v>857</v>
      </c>
      <c r="AV430" s="13">
        <f t="shared" si="334"/>
        <v>0</v>
      </c>
      <c r="AW430" s="13">
        <f t="shared" si="335"/>
        <v>0</v>
      </c>
      <c r="AX430" s="13">
        <f t="shared" si="336"/>
        <v>0</v>
      </c>
      <c r="AY430" s="32" t="s">
        <v>1149</v>
      </c>
      <c r="AZ430" s="32" t="s">
        <v>944</v>
      </c>
      <c r="BA430" s="21" t="s">
        <v>129</v>
      </c>
      <c r="BC430" s="13">
        <f t="shared" si="337"/>
        <v>0</v>
      </c>
      <c r="BD430" s="13">
        <f t="shared" si="338"/>
        <v>0</v>
      </c>
      <c r="BE430" s="13">
        <v>0</v>
      </c>
      <c r="BF430" s="13">
        <f>430</f>
        <v>430</v>
      </c>
      <c r="BH430" s="13">
        <f t="shared" si="339"/>
        <v>0</v>
      </c>
      <c r="BI430" s="13">
        <f t="shared" si="340"/>
        <v>0</v>
      </c>
      <c r="BJ430" s="13">
        <f t="shared" si="341"/>
        <v>0</v>
      </c>
      <c r="BK430" s="13"/>
      <c r="BL430" s="13"/>
    </row>
    <row r="431" spans="1:64" ht="15" customHeight="1">
      <c r="A431" s="11" t="s">
        <v>376</v>
      </c>
      <c r="B431" s="48" t="s">
        <v>1242</v>
      </c>
      <c r="C431" s="48" t="s">
        <v>327</v>
      </c>
      <c r="D431" s="61" t="s">
        <v>1319</v>
      </c>
      <c r="E431" s="61"/>
      <c r="F431" s="61"/>
      <c r="G431" s="61"/>
      <c r="H431" s="48" t="s">
        <v>299</v>
      </c>
      <c r="I431" s="13">
        <v>2</v>
      </c>
      <c r="J431" s="13">
        <v>0</v>
      </c>
      <c r="K431" s="13">
        <f t="shared" si="320"/>
        <v>0</v>
      </c>
      <c r="L431" s="13">
        <f t="shared" si="321"/>
        <v>0</v>
      </c>
      <c r="M431" s="13">
        <f t="shared" si="322"/>
        <v>0</v>
      </c>
      <c r="N431" s="13">
        <v>0.001</v>
      </c>
      <c r="O431" s="10" t="s">
        <v>851</v>
      </c>
      <c r="Z431" s="13">
        <f t="shared" si="323"/>
        <v>0</v>
      </c>
      <c r="AB431" s="13">
        <f t="shared" si="324"/>
        <v>0</v>
      </c>
      <c r="AC431" s="13">
        <f t="shared" si="325"/>
        <v>0</v>
      </c>
      <c r="AD431" s="13">
        <f t="shared" si="326"/>
        <v>0</v>
      </c>
      <c r="AE431" s="13">
        <f t="shared" si="327"/>
        <v>0</v>
      </c>
      <c r="AF431" s="13">
        <f t="shared" si="328"/>
        <v>0</v>
      </c>
      <c r="AG431" s="13">
        <f t="shared" si="329"/>
        <v>0</v>
      </c>
      <c r="AH431" s="13">
        <f t="shared" si="330"/>
        <v>0</v>
      </c>
      <c r="AI431" s="21" t="s">
        <v>1242</v>
      </c>
      <c r="AJ431" s="13">
        <f t="shared" si="331"/>
        <v>0</v>
      </c>
      <c r="AK431" s="13">
        <f t="shared" si="332"/>
        <v>0</v>
      </c>
      <c r="AL431" s="13">
        <f t="shared" si="333"/>
        <v>0</v>
      </c>
      <c r="AN431" s="13">
        <v>21</v>
      </c>
      <c r="AO431" s="13">
        <f>J431*1</f>
        <v>0</v>
      </c>
      <c r="AP431" s="13">
        <f>J431*(1-1)</f>
        <v>0</v>
      </c>
      <c r="AQ431" s="32" t="s">
        <v>1231</v>
      </c>
      <c r="AV431" s="13">
        <f t="shared" si="334"/>
        <v>0</v>
      </c>
      <c r="AW431" s="13">
        <f t="shared" si="335"/>
        <v>0</v>
      </c>
      <c r="AX431" s="13">
        <f t="shared" si="336"/>
        <v>0</v>
      </c>
      <c r="AY431" s="32" t="s">
        <v>1149</v>
      </c>
      <c r="AZ431" s="32" t="s">
        <v>944</v>
      </c>
      <c r="BA431" s="21" t="s">
        <v>129</v>
      </c>
      <c r="BC431" s="13">
        <f t="shared" si="337"/>
        <v>0</v>
      </c>
      <c r="BD431" s="13">
        <f t="shared" si="338"/>
        <v>0</v>
      </c>
      <c r="BE431" s="13">
        <v>0</v>
      </c>
      <c r="BF431" s="13">
        <f>431</f>
        <v>431</v>
      </c>
      <c r="BH431" s="13">
        <f t="shared" si="339"/>
        <v>0</v>
      </c>
      <c r="BI431" s="13">
        <f t="shared" si="340"/>
        <v>0</v>
      </c>
      <c r="BJ431" s="13">
        <f t="shared" si="341"/>
        <v>0</v>
      </c>
      <c r="BK431" s="13"/>
      <c r="BL431" s="13"/>
    </row>
    <row r="432" spans="1:64" ht="15" customHeight="1">
      <c r="A432" s="11" t="s">
        <v>263</v>
      </c>
      <c r="B432" s="48" t="s">
        <v>1242</v>
      </c>
      <c r="C432" s="48" t="s">
        <v>697</v>
      </c>
      <c r="D432" s="61" t="s">
        <v>1282</v>
      </c>
      <c r="E432" s="61"/>
      <c r="F432" s="61"/>
      <c r="G432" s="61"/>
      <c r="H432" s="48" t="s">
        <v>299</v>
      </c>
      <c r="I432" s="13">
        <v>5</v>
      </c>
      <c r="J432" s="13">
        <v>0</v>
      </c>
      <c r="K432" s="13">
        <f t="shared" si="320"/>
        <v>0</v>
      </c>
      <c r="L432" s="13">
        <f t="shared" si="321"/>
        <v>0</v>
      </c>
      <c r="M432" s="13">
        <f t="shared" si="322"/>
        <v>0</v>
      </c>
      <c r="N432" s="13">
        <v>0</v>
      </c>
      <c r="O432" s="10" t="s">
        <v>851</v>
      </c>
      <c r="Z432" s="13">
        <f t="shared" si="323"/>
        <v>0</v>
      </c>
      <c r="AB432" s="13">
        <f t="shared" si="324"/>
        <v>0</v>
      </c>
      <c r="AC432" s="13">
        <f t="shared" si="325"/>
        <v>0</v>
      </c>
      <c r="AD432" s="13">
        <f t="shared" si="326"/>
        <v>0</v>
      </c>
      <c r="AE432" s="13">
        <f t="shared" si="327"/>
        <v>0</v>
      </c>
      <c r="AF432" s="13">
        <f t="shared" si="328"/>
        <v>0</v>
      </c>
      <c r="AG432" s="13">
        <f t="shared" si="329"/>
        <v>0</v>
      </c>
      <c r="AH432" s="13">
        <f t="shared" si="330"/>
        <v>0</v>
      </c>
      <c r="AI432" s="21" t="s">
        <v>1242</v>
      </c>
      <c r="AJ432" s="13">
        <f t="shared" si="331"/>
        <v>0</v>
      </c>
      <c r="AK432" s="13">
        <f t="shared" si="332"/>
        <v>0</v>
      </c>
      <c r="AL432" s="13">
        <f t="shared" si="333"/>
        <v>0</v>
      </c>
      <c r="AN432" s="13">
        <v>21</v>
      </c>
      <c r="AO432" s="13">
        <f>J432*0</f>
        <v>0</v>
      </c>
      <c r="AP432" s="13">
        <f>J432*(1-0)</f>
        <v>0</v>
      </c>
      <c r="AQ432" s="32" t="s">
        <v>857</v>
      </c>
      <c r="AV432" s="13">
        <f t="shared" si="334"/>
        <v>0</v>
      </c>
      <c r="AW432" s="13">
        <f t="shared" si="335"/>
        <v>0</v>
      </c>
      <c r="AX432" s="13">
        <f t="shared" si="336"/>
        <v>0</v>
      </c>
      <c r="AY432" s="32" t="s">
        <v>1149</v>
      </c>
      <c r="AZ432" s="32" t="s">
        <v>944</v>
      </c>
      <c r="BA432" s="21" t="s">
        <v>129</v>
      </c>
      <c r="BC432" s="13">
        <f t="shared" si="337"/>
        <v>0</v>
      </c>
      <c r="BD432" s="13">
        <f t="shared" si="338"/>
        <v>0</v>
      </c>
      <c r="BE432" s="13">
        <v>0</v>
      </c>
      <c r="BF432" s="13">
        <f>432</f>
        <v>432</v>
      </c>
      <c r="BH432" s="13">
        <f t="shared" si="339"/>
        <v>0</v>
      </c>
      <c r="BI432" s="13">
        <f t="shared" si="340"/>
        <v>0</v>
      </c>
      <c r="BJ432" s="13">
        <f t="shared" si="341"/>
        <v>0</v>
      </c>
      <c r="BK432" s="13"/>
      <c r="BL432" s="13"/>
    </row>
    <row r="433" spans="1:64" ht="15" customHeight="1">
      <c r="A433" s="11" t="s">
        <v>165</v>
      </c>
      <c r="B433" s="48" t="s">
        <v>1242</v>
      </c>
      <c r="C433" s="48" t="s">
        <v>1210</v>
      </c>
      <c r="D433" s="61" t="s">
        <v>522</v>
      </c>
      <c r="E433" s="61"/>
      <c r="F433" s="61"/>
      <c r="G433" s="61"/>
      <c r="H433" s="48" t="s">
        <v>299</v>
      </c>
      <c r="I433" s="13">
        <v>5</v>
      </c>
      <c r="J433" s="13">
        <v>0</v>
      </c>
      <c r="K433" s="13">
        <f t="shared" si="320"/>
        <v>0</v>
      </c>
      <c r="L433" s="13">
        <f t="shared" si="321"/>
        <v>0</v>
      </c>
      <c r="M433" s="13">
        <f t="shared" si="322"/>
        <v>0</v>
      </c>
      <c r="N433" s="13">
        <v>4E-05</v>
      </c>
      <c r="O433" s="10" t="s">
        <v>851</v>
      </c>
      <c r="Z433" s="13">
        <f t="shared" si="323"/>
        <v>0</v>
      </c>
      <c r="AB433" s="13">
        <f t="shared" si="324"/>
        <v>0</v>
      </c>
      <c r="AC433" s="13">
        <f t="shared" si="325"/>
        <v>0</v>
      </c>
      <c r="AD433" s="13">
        <f t="shared" si="326"/>
        <v>0</v>
      </c>
      <c r="AE433" s="13">
        <f t="shared" si="327"/>
        <v>0</v>
      </c>
      <c r="AF433" s="13">
        <f t="shared" si="328"/>
        <v>0</v>
      </c>
      <c r="AG433" s="13">
        <f t="shared" si="329"/>
        <v>0</v>
      </c>
      <c r="AH433" s="13">
        <f t="shared" si="330"/>
        <v>0</v>
      </c>
      <c r="AI433" s="21" t="s">
        <v>1242</v>
      </c>
      <c r="AJ433" s="13">
        <f t="shared" si="331"/>
        <v>0</v>
      </c>
      <c r="AK433" s="13">
        <f t="shared" si="332"/>
        <v>0</v>
      </c>
      <c r="AL433" s="13">
        <f t="shared" si="333"/>
        <v>0</v>
      </c>
      <c r="AN433" s="13">
        <v>21</v>
      </c>
      <c r="AO433" s="13">
        <f>J433*1</f>
        <v>0</v>
      </c>
      <c r="AP433" s="13">
        <f>J433*(1-1)</f>
        <v>0</v>
      </c>
      <c r="AQ433" s="32" t="s">
        <v>1231</v>
      </c>
      <c r="AV433" s="13">
        <f t="shared" si="334"/>
        <v>0</v>
      </c>
      <c r="AW433" s="13">
        <f t="shared" si="335"/>
        <v>0</v>
      </c>
      <c r="AX433" s="13">
        <f t="shared" si="336"/>
        <v>0</v>
      </c>
      <c r="AY433" s="32" t="s">
        <v>1149</v>
      </c>
      <c r="AZ433" s="32" t="s">
        <v>944</v>
      </c>
      <c r="BA433" s="21" t="s">
        <v>129</v>
      </c>
      <c r="BC433" s="13">
        <f t="shared" si="337"/>
        <v>0</v>
      </c>
      <c r="BD433" s="13">
        <f t="shared" si="338"/>
        <v>0</v>
      </c>
      <c r="BE433" s="13">
        <v>0</v>
      </c>
      <c r="BF433" s="13">
        <f>433</f>
        <v>433</v>
      </c>
      <c r="BH433" s="13">
        <f t="shared" si="339"/>
        <v>0</v>
      </c>
      <c r="BI433" s="13">
        <f t="shared" si="340"/>
        <v>0</v>
      </c>
      <c r="BJ433" s="13">
        <f t="shared" si="341"/>
        <v>0</v>
      </c>
      <c r="BK433" s="13"/>
      <c r="BL433" s="13"/>
    </row>
    <row r="434" spans="1:64" ht="15" customHeight="1">
      <c r="A434" s="11" t="s">
        <v>690</v>
      </c>
      <c r="B434" s="48" t="s">
        <v>1242</v>
      </c>
      <c r="C434" s="48" t="s">
        <v>1070</v>
      </c>
      <c r="D434" s="61" t="s">
        <v>845</v>
      </c>
      <c r="E434" s="61"/>
      <c r="F434" s="61"/>
      <c r="G434" s="61"/>
      <c r="H434" s="48" t="s">
        <v>553</v>
      </c>
      <c r="I434" s="13">
        <v>663.5945</v>
      </c>
      <c r="J434" s="13">
        <v>0</v>
      </c>
      <c r="K434" s="13">
        <f t="shared" si="320"/>
        <v>0</v>
      </c>
      <c r="L434" s="13">
        <f t="shared" si="321"/>
        <v>0</v>
      </c>
      <c r="M434" s="13">
        <f t="shared" si="322"/>
        <v>0</v>
      </c>
      <c r="N434" s="13">
        <v>0</v>
      </c>
      <c r="O434" s="10" t="s">
        <v>851</v>
      </c>
      <c r="Z434" s="13">
        <f t="shared" si="323"/>
        <v>0</v>
      </c>
      <c r="AB434" s="13">
        <f t="shared" si="324"/>
        <v>0</v>
      </c>
      <c r="AC434" s="13">
        <f t="shared" si="325"/>
        <v>0</v>
      </c>
      <c r="AD434" s="13">
        <f t="shared" si="326"/>
        <v>0</v>
      </c>
      <c r="AE434" s="13">
        <f t="shared" si="327"/>
        <v>0</v>
      </c>
      <c r="AF434" s="13">
        <f t="shared" si="328"/>
        <v>0</v>
      </c>
      <c r="AG434" s="13">
        <f t="shared" si="329"/>
        <v>0</v>
      </c>
      <c r="AH434" s="13">
        <f t="shared" si="330"/>
        <v>0</v>
      </c>
      <c r="AI434" s="21" t="s">
        <v>1242</v>
      </c>
      <c r="AJ434" s="13">
        <f t="shared" si="331"/>
        <v>0</v>
      </c>
      <c r="AK434" s="13">
        <f t="shared" si="332"/>
        <v>0</v>
      </c>
      <c r="AL434" s="13">
        <f t="shared" si="333"/>
        <v>0</v>
      </c>
      <c r="AN434" s="13">
        <v>21</v>
      </c>
      <c r="AO434" s="13">
        <f>J434*0</f>
        <v>0</v>
      </c>
      <c r="AP434" s="13">
        <f>J434*(1-0)</f>
        <v>0</v>
      </c>
      <c r="AQ434" s="32" t="s">
        <v>654</v>
      </c>
      <c r="AV434" s="13">
        <f t="shared" si="334"/>
        <v>0</v>
      </c>
      <c r="AW434" s="13">
        <f t="shared" si="335"/>
        <v>0</v>
      </c>
      <c r="AX434" s="13">
        <f t="shared" si="336"/>
        <v>0</v>
      </c>
      <c r="AY434" s="32" t="s">
        <v>1149</v>
      </c>
      <c r="AZ434" s="32" t="s">
        <v>944</v>
      </c>
      <c r="BA434" s="21" t="s">
        <v>129</v>
      </c>
      <c r="BC434" s="13">
        <f t="shared" si="337"/>
        <v>0</v>
      </c>
      <c r="BD434" s="13">
        <f t="shared" si="338"/>
        <v>0</v>
      </c>
      <c r="BE434" s="13">
        <v>0</v>
      </c>
      <c r="BF434" s="13">
        <f>434</f>
        <v>434</v>
      </c>
      <c r="BH434" s="13">
        <f t="shared" si="339"/>
        <v>0</v>
      </c>
      <c r="BI434" s="13">
        <f t="shared" si="340"/>
        <v>0</v>
      </c>
      <c r="BJ434" s="13">
        <f t="shared" si="341"/>
        <v>0</v>
      </c>
      <c r="BK434" s="13"/>
      <c r="BL434" s="13"/>
    </row>
    <row r="435" spans="1:15" ht="15" customHeight="1">
      <c r="A435" s="30" t="s">
        <v>862</v>
      </c>
      <c r="B435" s="18" t="s">
        <v>336</v>
      </c>
      <c r="C435" s="18" t="s">
        <v>862</v>
      </c>
      <c r="D435" s="73" t="s">
        <v>472</v>
      </c>
      <c r="E435" s="73"/>
      <c r="F435" s="73"/>
      <c r="G435" s="73"/>
      <c r="H435" s="15" t="s">
        <v>1148</v>
      </c>
      <c r="I435" s="15" t="s">
        <v>1148</v>
      </c>
      <c r="J435" s="15" t="s">
        <v>1148</v>
      </c>
      <c r="K435" s="56">
        <f>K436+K438+K440+K443+K446+K449+K451+K453+K459</f>
        <v>0</v>
      </c>
      <c r="L435" s="56">
        <f>L436+L438+L440+L443+L446+L449+L451+L453+L459</f>
        <v>0</v>
      </c>
      <c r="M435" s="56">
        <f>M436+M438+M440+M443+M446+M449+M451+M453+M459</f>
        <v>0</v>
      </c>
      <c r="N435" s="21" t="s">
        <v>862</v>
      </c>
      <c r="O435" s="47" t="s">
        <v>862</v>
      </c>
    </row>
    <row r="436" spans="1:47" ht="15" customHeight="1">
      <c r="A436" s="30" t="s">
        <v>862</v>
      </c>
      <c r="B436" s="18" t="s">
        <v>336</v>
      </c>
      <c r="C436" s="18" t="s">
        <v>916</v>
      </c>
      <c r="D436" s="73" t="s">
        <v>301</v>
      </c>
      <c r="E436" s="73"/>
      <c r="F436" s="73"/>
      <c r="G436" s="73"/>
      <c r="H436" s="15" t="s">
        <v>1148</v>
      </c>
      <c r="I436" s="15" t="s">
        <v>1148</v>
      </c>
      <c r="J436" s="15" t="s">
        <v>1148</v>
      </c>
      <c r="K436" s="56">
        <f>SUM(K437:K437)</f>
        <v>0</v>
      </c>
      <c r="L436" s="56">
        <f>SUM(L437:L437)</f>
        <v>0</v>
      </c>
      <c r="M436" s="56">
        <f>SUM(M437:M437)</f>
        <v>0</v>
      </c>
      <c r="N436" s="21" t="s">
        <v>862</v>
      </c>
      <c r="O436" s="47" t="s">
        <v>862</v>
      </c>
      <c r="AI436" s="21" t="s">
        <v>336</v>
      </c>
      <c r="AS436" s="56">
        <f>SUM(AJ437:AJ437)</f>
        <v>0</v>
      </c>
      <c r="AT436" s="56">
        <f>SUM(AK437:AK437)</f>
        <v>0</v>
      </c>
      <c r="AU436" s="56">
        <f>SUM(AL437:AL437)</f>
        <v>0</v>
      </c>
    </row>
    <row r="437" spans="1:64" ht="15" customHeight="1">
      <c r="A437" s="11" t="s">
        <v>1162</v>
      </c>
      <c r="B437" s="48" t="s">
        <v>336</v>
      </c>
      <c r="C437" s="48" t="s">
        <v>499</v>
      </c>
      <c r="D437" s="61" t="s">
        <v>1212</v>
      </c>
      <c r="E437" s="61"/>
      <c r="F437" s="61"/>
      <c r="G437" s="61"/>
      <c r="H437" s="48" t="s">
        <v>1195</v>
      </c>
      <c r="I437" s="13">
        <v>15</v>
      </c>
      <c r="J437" s="13">
        <v>0</v>
      </c>
      <c r="K437" s="13">
        <f>I437*AO437</f>
        <v>0</v>
      </c>
      <c r="L437" s="13">
        <f>I437*AP437</f>
        <v>0</v>
      </c>
      <c r="M437" s="13">
        <f>I437*J437</f>
        <v>0</v>
      </c>
      <c r="N437" s="13">
        <v>0</v>
      </c>
      <c r="O437" s="10" t="s">
        <v>851</v>
      </c>
      <c r="Z437" s="13">
        <f>IF(AQ437="5",BJ437,0)</f>
        <v>0</v>
      </c>
      <c r="AB437" s="13">
        <f>IF(AQ437="1",BH437,0)</f>
        <v>0</v>
      </c>
      <c r="AC437" s="13">
        <f>IF(AQ437="1",BI437,0)</f>
        <v>0</v>
      </c>
      <c r="AD437" s="13">
        <f>IF(AQ437="7",BH437,0)</f>
        <v>0</v>
      </c>
      <c r="AE437" s="13">
        <f>IF(AQ437="7",BI437,0)</f>
        <v>0</v>
      </c>
      <c r="AF437" s="13">
        <f>IF(AQ437="2",BH437,0)</f>
        <v>0</v>
      </c>
      <c r="AG437" s="13">
        <f>IF(AQ437="2",BI437,0)</f>
        <v>0</v>
      </c>
      <c r="AH437" s="13">
        <f>IF(AQ437="0",BJ437,0)</f>
        <v>0</v>
      </c>
      <c r="AI437" s="21" t="s">
        <v>336</v>
      </c>
      <c r="AJ437" s="13">
        <f>IF(AN437=0,M437,0)</f>
        <v>0</v>
      </c>
      <c r="AK437" s="13">
        <f>IF(AN437=15,M437,0)</f>
        <v>0</v>
      </c>
      <c r="AL437" s="13">
        <f>IF(AN437=21,M437,0)</f>
        <v>0</v>
      </c>
      <c r="AN437" s="13">
        <v>21</v>
      </c>
      <c r="AO437" s="13">
        <f>J437*0</f>
        <v>0</v>
      </c>
      <c r="AP437" s="13">
        <f>J437*(1-0)</f>
        <v>0</v>
      </c>
      <c r="AQ437" s="32" t="s">
        <v>1231</v>
      </c>
      <c r="AV437" s="13">
        <f>AW437+AX437</f>
        <v>0</v>
      </c>
      <c r="AW437" s="13">
        <f>I437*AO437</f>
        <v>0</v>
      </c>
      <c r="AX437" s="13">
        <f>I437*AP437</f>
        <v>0</v>
      </c>
      <c r="AY437" s="32" t="s">
        <v>616</v>
      </c>
      <c r="AZ437" s="32" t="s">
        <v>218</v>
      </c>
      <c r="BA437" s="21" t="s">
        <v>305</v>
      </c>
      <c r="BC437" s="13">
        <f>AW437+AX437</f>
        <v>0</v>
      </c>
      <c r="BD437" s="13">
        <f>J437/(100-BE437)*100</f>
        <v>0</v>
      </c>
      <c r="BE437" s="13">
        <v>0</v>
      </c>
      <c r="BF437" s="13">
        <f>437</f>
        <v>437</v>
      </c>
      <c r="BH437" s="13">
        <f>I437*AO437</f>
        <v>0</v>
      </c>
      <c r="BI437" s="13">
        <f>I437*AP437</f>
        <v>0</v>
      </c>
      <c r="BJ437" s="13">
        <f>I437*J437</f>
        <v>0</v>
      </c>
      <c r="BK437" s="13"/>
      <c r="BL437" s="13">
        <v>12</v>
      </c>
    </row>
    <row r="438" spans="1:47" ht="15" customHeight="1">
      <c r="A438" s="30" t="s">
        <v>862</v>
      </c>
      <c r="B438" s="18" t="s">
        <v>336</v>
      </c>
      <c r="C438" s="18" t="s">
        <v>356</v>
      </c>
      <c r="D438" s="73" t="s">
        <v>11</v>
      </c>
      <c r="E438" s="73"/>
      <c r="F438" s="73"/>
      <c r="G438" s="73"/>
      <c r="H438" s="15" t="s">
        <v>1148</v>
      </c>
      <c r="I438" s="15" t="s">
        <v>1148</v>
      </c>
      <c r="J438" s="15" t="s">
        <v>1148</v>
      </c>
      <c r="K438" s="56">
        <f>SUM(K439:K439)</f>
        <v>0</v>
      </c>
      <c r="L438" s="56">
        <f>SUM(L439:L439)</f>
        <v>0</v>
      </c>
      <c r="M438" s="56">
        <f>SUM(M439:M439)</f>
        <v>0</v>
      </c>
      <c r="N438" s="21" t="s">
        <v>862</v>
      </c>
      <c r="O438" s="47" t="s">
        <v>862</v>
      </c>
      <c r="AI438" s="21" t="s">
        <v>336</v>
      </c>
      <c r="AS438" s="56">
        <f>SUM(AJ439:AJ439)</f>
        <v>0</v>
      </c>
      <c r="AT438" s="56">
        <f>SUM(AK439:AK439)</f>
        <v>0</v>
      </c>
      <c r="AU438" s="56">
        <f>SUM(AL439:AL439)</f>
        <v>0</v>
      </c>
    </row>
    <row r="439" spans="1:64" ht="15" customHeight="1">
      <c r="A439" s="11" t="s">
        <v>1376</v>
      </c>
      <c r="B439" s="48" t="s">
        <v>336</v>
      </c>
      <c r="C439" s="48" t="s">
        <v>1101</v>
      </c>
      <c r="D439" s="61" t="s">
        <v>168</v>
      </c>
      <c r="E439" s="61"/>
      <c r="F439" s="61"/>
      <c r="G439" s="61"/>
      <c r="H439" s="48" t="s">
        <v>1195</v>
      </c>
      <c r="I439" s="13">
        <v>366.525</v>
      </c>
      <c r="J439" s="13">
        <v>0</v>
      </c>
      <c r="K439" s="13">
        <f>I439*AO439</f>
        <v>0</v>
      </c>
      <c r="L439" s="13">
        <f>I439*AP439</f>
        <v>0</v>
      </c>
      <c r="M439" s="13">
        <f>I439*J439</f>
        <v>0</v>
      </c>
      <c r="N439" s="13">
        <v>0</v>
      </c>
      <c r="O439" s="10" t="s">
        <v>851</v>
      </c>
      <c r="Z439" s="13">
        <f>IF(AQ439="5",BJ439,0)</f>
        <v>0</v>
      </c>
      <c r="AB439" s="13">
        <f>IF(AQ439="1",BH439,0)</f>
        <v>0</v>
      </c>
      <c r="AC439" s="13">
        <f>IF(AQ439="1",BI439,0)</f>
        <v>0</v>
      </c>
      <c r="AD439" s="13">
        <f>IF(AQ439="7",BH439,0)</f>
        <v>0</v>
      </c>
      <c r="AE439" s="13">
        <f>IF(AQ439="7",BI439,0)</f>
        <v>0</v>
      </c>
      <c r="AF439" s="13">
        <f>IF(AQ439="2",BH439,0)</f>
        <v>0</v>
      </c>
      <c r="AG439" s="13">
        <f>IF(AQ439="2",BI439,0)</f>
        <v>0</v>
      </c>
      <c r="AH439" s="13">
        <f>IF(AQ439="0",BJ439,0)</f>
        <v>0</v>
      </c>
      <c r="AI439" s="21" t="s">
        <v>336</v>
      </c>
      <c r="AJ439" s="13">
        <f>IF(AN439=0,M439,0)</f>
        <v>0</v>
      </c>
      <c r="AK439" s="13">
        <f>IF(AN439=15,M439,0)</f>
        <v>0</v>
      </c>
      <c r="AL439" s="13">
        <f>IF(AN439=21,M439,0)</f>
        <v>0</v>
      </c>
      <c r="AN439" s="13">
        <v>21</v>
      </c>
      <c r="AO439" s="13">
        <f>J439*0</f>
        <v>0</v>
      </c>
      <c r="AP439" s="13">
        <f>J439*(1-0)</f>
        <v>0</v>
      </c>
      <c r="AQ439" s="32" t="s">
        <v>1231</v>
      </c>
      <c r="AV439" s="13">
        <f>AW439+AX439</f>
        <v>0</v>
      </c>
      <c r="AW439" s="13">
        <f>I439*AO439</f>
        <v>0</v>
      </c>
      <c r="AX439" s="13">
        <f>I439*AP439</f>
        <v>0</v>
      </c>
      <c r="AY439" s="32" t="s">
        <v>1116</v>
      </c>
      <c r="AZ439" s="32" t="s">
        <v>218</v>
      </c>
      <c r="BA439" s="21" t="s">
        <v>305</v>
      </c>
      <c r="BC439" s="13">
        <f>AW439+AX439</f>
        <v>0</v>
      </c>
      <c r="BD439" s="13">
        <f>J439/(100-BE439)*100</f>
        <v>0</v>
      </c>
      <c r="BE439" s="13">
        <v>0</v>
      </c>
      <c r="BF439" s="13">
        <f>439</f>
        <v>439</v>
      </c>
      <c r="BH439" s="13">
        <f>I439*AO439</f>
        <v>0</v>
      </c>
      <c r="BI439" s="13">
        <f>I439*AP439</f>
        <v>0</v>
      </c>
      <c r="BJ439" s="13">
        <f>I439*J439</f>
        <v>0</v>
      </c>
      <c r="BK439" s="13"/>
      <c r="BL439" s="13">
        <v>13</v>
      </c>
    </row>
    <row r="440" spans="1:47" ht="15" customHeight="1">
      <c r="A440" s="30" t="s">
        <v>862</v>
      </c>
      <c r="B440" s="18" t="s">
        <v>336</v>
      </c>
      <c r="C440" s="18" t="s">
        <v>113</v>
      </c>
      <c r="D440" s="73" t="s">
        <v>1028</v>
      </c>
      <c r="E440" s="73"/>
      <c r="F440" s="73"/>
      <c r="G440" s="73"/>
      <c r="H440" s="15" t="s">
        <v>1148</v>
      </c>
      <c r="I440" s="15" t="s">
        <v>1148</v>
      </c>
      <c r="J440" s="15" t="s">
        <v>1148</v>
      </c>
      <c r="K440" s="56">
        <f>SUM(K441:K442)</f>
        <v>0</v>
      </c>
      <c r="L440" s="56">
        <f>SUM(L441:L442)</f>
        <v>0</v>
      </c>
      <c r="M440" s="56">
        <f>SUM(M441:M442)</f>
        <v>0</v>
      </c>
      <c r="N440" s="21" t="s">
        <v>862</v>
      </c>
      <c r="O440" s="47" t="s">
        <v>862</v>
      </c>
      <c r="AI440" s="21" t="s">
        <v>336</v>
      </c>
      <c r="AS440" s="56">
        <f>SUM(AJ441:AJ442)</f>
        <v>0</v>
      </c>
      <c r="AT440" s="56">
        <f>SUM(AK441:AK442)</f>
        <v>0</v>
      </c>
      <c r="AU440" s="56">
        <f>SUM(AL441:AL442)</f>
        <v>0</v>
      </c>
    </row>
    <row r="441" spans="1:64" ht="15" customHeight="1">
      <c r="A441" s="11" t="s">
        <v>67</v>
      </c>
      <c r="B441" s="48" t="s">
        <v>336</v>
      </c>
      <c r="C441" s="48" t="s">
        <v>18</v>
      </c>
      <c r="D441" s="61" t="s">
        <v>1035</v>
      </c>
      <c r="E441" s="61"/>
      <c r="F441" s="61"/>
      <c r="G441" s="61"/>
      <c r="H441" s="48" t="s">
        <v>1195</v>
      </c>
      <c r="I441" s="13">
        <v>109.957</v>
      </c>
      <c r="J441" s="13">
        <v>0</v>
      </c>
      <c r="K441" s="13">
        <f>I441*AO441</f>
        <v>0</v>
      </c>
      <c r="L441" s="13">
        <f>I441*AP441</f>
        <v>0</v>
      </c>
      <c r="M441" s="13">
        <f>I441*J441</f>
        <v>0</v>
      </c>
      <c r="N441" s="13">
        <v>0</v>
      </c>
      <c r="O441" s="10" t="s">
        <v>851</v>
      </c>
      <c r="Z441" s="13">
        <f>IF(AQ441="5",BJ441,0)</f>
        <v>0</v>
      </c>
      <c r="AB441" s="13">
        <f>IF(AQ441="1",BH441,0)</f>
        <v>0</v>
      </c>
      <c r="AC441" s="13">
        <f>IF(AQ441="1",BI441,0)</f>
        <v>0</v>
      </c>
      <c r="AD441" s="13">
        <f>IF(AQ441="7",BH441,0)</f>
        <v>0</v>
      </c>
      <c r="AE441" s="13">
        <f>IF(AQ441="7",BI441,0)</f>
        <v>0</v>
      </c>
      <c r="AF441" s="13">
        <f>IF(AQ441="2",BH441,0)</f>
        <v>0</v>
      </c>
      <c r="AG441" s="13">
        <f>IF(AQ441="2",BI441,0)</f>
        <v>0</v>
      </c>
      <c r="AH441" s="13">
        <f>IF(AQ441="0",BJ441,0)</f>
        <v>0</v>
      </c>
      <c r="AI441" s="21" t="s">
        <v>336</v>
      </c>
      <c r="AJ441" s="13">
        <f>IF(AN441=0,M441,0)</f>
        <v>0</v>
      </c>
      <c r="AK441" s="13">
        <f>IF(AN441=15,M441,0)</f>
        <v>0</v>
      </c>
      <c r="AL441" s="13">
        <f>IF(AN441=21,M441,0)</f>
        <v>0</v>
      </c>
      <c r="AN441" s="13">
        <v>21</v>
      </c>
      <c r="AO441" s="13">
        <f>J441*0</f>
        <v>0</v>
      </c>
      <c r="AP441" s="13">
        <f>J441*(1-0)</f>
        <v>0</v>
      </c>
      <c r="AQ441" s="32" t="s">
        <v>1231</v>
      </c>
      <c r="AV441" s="13">
        <f>AW441+AX441</f>
        <v>0</v>
      </c>
      <c r="AW441" s="13">
        <f>I441*AO441</f>
        <v>0</v>
      </c>
      <c r="AX441" s="13">
        <f>I441*AP441</f>
        <v>0</v>
      </c>
      <c r="AY441" s="32" t="s">
        <v>1151</v>
      </c>
      <c r="AZ441" s="32" t="s">
        <v>218</v>
      </c>
      <c r="BA441" s="21" t="s">
        <v>305</v>
      </c>
      <c r="BC441" s="13">
        <f>AW441+AX441</f>
        <v>0</v>
      </c>
      <c r="BD441" s="13">
        <f>J441/(100-BE441)*100</f>
        <v>0</v>
      </c>
      <c r="BE441" s="13">
        <v>0</v>
      </c>
      <c r="BF441" s="13">
        <f>441</f>
        <v>441</v>
      </c>
      <c r="BH441" s="13">
        <f>I441*AO441</f>
        <v>0</v>
      </c>
      <c r="BI441" s="13">
        <f>I441*AP441</f>
        <v>0</v>
      </c>
      <c r="BJ441" s="13">
        <f>I441*J441</f>
        <v>0</v>
      </c>
      <c r="BK441" s="13"/>
      <c r="BL441" s="13">
        <v>16</v>
      </c>
    </row>
    <row r="442" spans="1:64" ht="15" customHeight="1">
      <c r="A442" s="11" t="s">
        <v>1218</v>
      </c>
      <c r="B442" s="48" t="s">
        <v>336</v>
      </c>
      <c r="C442" s="48" t="s">
        <v>560</v>
      </c>
      <c r="D442" s="61" t="s">
        <v>663</v>
      </c>
      <c r="E442" s="61"/>
      <c r="F442" s="61"/>
      <c r="G442" s="61"/>
      <c r="H442" s="48" t="s">
        <v>1195</v>
      </c>
      <c r="I442" s="13">
        <v>1100</v>
      </c>
      <c r="J442" s="13">
        <v>0</v>
      </c>
      <c r="K442" s="13">
        <f>I442*AO442</f>
        <v>0</v>
      </c>
      <c r="L442" s="13">
        <f>I442*AP442</f>
        <v>0</v>
      </c>
      <c r="M442" s="13">
        <f>I442*J442</f>
        <v>0</v>
      </c>
      <c r="N442" s="13">
        <v>0</v>
      </c>
      <c r="O442" s="10" t="s">
        <v>851</v>
      </c>
      <c r="Z442" s="13">
        <f>IF(AQ442="5",BJ442,0)</f>
        <v>0</v>
      </c>
      <c r="AB442" s="13">
        <f>IF(AQ442="1",BH442,0)</f>
        <v>0</v>
      </c>
      <c r="AC442" s="13">
        <f>IF(AQ442="1",BI442,0)</f>
        <v>0</v>
      </c>
      <c r="AD442" s="13">
        <f>IF(AQ442="7",BH442,0)</f>
        <v>0</v>
      </c>
      <c r="AE442" s="13">
        <f>IF(AQ442="7",BI442,0)</f>
        <v>0</v>
      </c>
      <c r="AF442" s="13">
        <f>IF(AQ442="2",BH442,0)</f>
        <v>0</v>
      </c>
      <c r="AG442" s="13">
        <f>IF(AQ442="2",BI442,0)</f>
        <v>0</v>
      </c>
      <c r="AH442" s="13">
        <f>IF(AQ442="0",BJ442,0)</f>
        <v>0</v>
      </c>
      <c r="AI442" s="21" t="s">
        <v>336</v>
      </c>
      <c r="AJ442" s="13">
        <f>IF(AN442=0,M442,0)</f>
        <v>0</v>
      </c>
      <c r="AK442" s="13">
        <f>IF(AN442=15,M442,0)</f>
        <v>0</v>
      </c>
      <c r="AL442" s="13">
        <f>IF(AN442=21,M442,0)</f>
        <v>0</v>
      </c>
      <c r="AN442" s="13">
        <v>21</v>
      </c>
      <c r="AO442" s="13">
        <f>J442*0</f>
        <v>0</v>
      </c>
      <c r="AP442" s="13">
        <f>J442*(1-0)</f>
        <v>0</v>
      </c>
      <c r="AQ442" s="32" t="s">
        <v>1231</v>
      </c>
      <c r="AV442" s="13">
        <f>AW442+AX442</f>
        <v>0</v>
      </c>
      <c r="AW442" s="13">
        <f>I442*AO442</f>
        <v>0</v>
      </c>
      <c r="AX442" s="13">
        <f>I442*AP442</f>
        <v>0</v>
      </c>
      <c r="AY442" s="32" t="s">
        <v>1151</v>
      </c>
      <c r="AZ442" s="32" t="s">
        <v>218</v>
      </c>
      <c r="BA442" s="21" t="s">
        <v>305</v>
      </c>
      <c r="BC442" s="13">
        <f>AW442+AX442</f>
        <v>0</v>
      </c>
      <c r="BD442" s="13">
        <f>J442/(100-BE442)*100</f>
        <v>0</v>
      </c>
      <c r="BE442" s="13">
        <v>0</v>
      </c>
      <c r="BF442" s="13">
        <f>442</f>
        <v>442</v>
      </c>
      <c r="BH442" s="13">
        <f>I442*AO442</f>
        <v>0</v>
      </c>
      <c r="BI442" s="13">
        <f>I442*AP442</f>
        <v>0</v>
      </c>
      <c r="BJ442" s="13">
        <f>I442*J442</f>
        <v>0</v>
      </c>
      <c r="BK442" s="13"/>
      <c r="BL442" s="13">
        <v>16</v>
      </c>
    </row>
    <row r="443" spans="1:47" ht="15" customHeight="1">
      <c r="A443" s="30" t="s">
        <v>862</v>
      </c>
      <c r="B443" s="18" t="s">
        <v>336</v>
      </c>
      <c r="C443" s="18" t="s">
        <v>868</v>
      </c>
      <c r="D443" s="73" t="s">
        <v>167</v>
      </c>
      <c r="E443" s="73"/>
      <c r="F443" s="73"/>
      <c r="G443" s="73"/>
      <c r="H443" s="15" t="s">
        <v>1148</v>
      </c>
      <c r="I443" s="15" t="s">
        <v>1148</v>
      </c>
      <c r="J443" s="15" t="s">
        <v>1148</v>
      </c>
      <c r="K443" s="56">
        <f>SUM(K444:K445)</f>
        <v>0</v>
      </c>
      <c r="L443" s="56">
        <f>SUM(L444:L445)</f>
        <v>0</v>
      </c>
      <c r="M443" s="56">
        <f>SUM(M444:M445)</f>
        <v>0</v>
      </c>
      <c r="N443" s="21" t="s">
        <v>862</v>
      </c>
      <c r="O443" s="47" t="s">
        <v>862</v>
      </c>
      <c r="AI443" s="21" t="s">
        <v>336</v>
      </c>
      <c r="AS443" s="56">
        <f>SUM(AJ444:AJ445)</f>
        <v>0</v>
      </c>
      <c r="AT443" s="56">
        <f>SUM(AK444:AK445)</f>
        <v>0</v>
      </c>
      <c r="AU443" s="56">
        <f>SUM(AL444:AL445)</f>
        <v>0</v>
      </c>
    </row>
    <row r="444" spans="1:64" ht="15" customHeight="1">
      <c r="A444" s="11" t="s">
        <v>80</v>
      </c>
      <c r="B444" s="48" t="s">
        <v>336</v>
      </c>
      <c r="C444" s="48" t="s">
        <v>1079</v>
      </c>
      <c r="D444" s="61" t="s">
        <v>39</v>
      </c>
      <c r="E444" s="61"/>
      <c r="F444" s="61"/>
      <c r="G444" s="61"/>
      <c r="H444" s="48" t="s">
        <v>1195</v>
      </c>
      <c r="I444" s="13">
        <v>85.5225</v>
      </c>
      <c r="J444" s="13">
        <v>0</v>
      </c>
      <c r="K444" s="13">
        <f>I444*AO444</f>
        <v>0</v>
      </c>
      <c r="L444" s="13">
        <f>I444*AP444</f>
        <v>0</v>
      </c>
      <c r="M444" s="13">
        <f>I444*J444</f>
        <v>0</v>
      </c>
      <c r="N444" s="13">
        <v>1.7</v>
      </c>
      <c r="O444" s="10" t="s">
        <v>851</v>
      </c>
      <c r="Z444" s="13">
        <f>IF(AQ444="5",BJ444,0)</f>
        <v>0</v>
      </c>
      <c r="AB444" s="13">
        <f>IF(AQ444="1",BH444,0)</f>
        <v>0</v>
      </c>
      <c r="AC444" s="13">
        <f>IF(AQ444="1",BI444,0)</f>
        <v>0</v>
      </c>
      <c r="AD444" s="13">
        <f>IF(AQ444="7",BH444,0)</f>
        <v>0</v>
      </c>
      <c r="AE444" s="13">
        <f>IF(AQ444="7",BI444,0)</f>
        <v>0</v>
      </c>
      <c r="AF444" s="13">
        <f>IF(AQ444="2",BH444,0)</f>
        <v>0</v>
      </c>
      <c r="AG444" s="13">
        <f>IF(AQ444="2",BI444,0)</f>
        <v>0</v>
      </c>
      <c r="AH444" s="13">
        <f>IF(AQ444="0",BJ444,0)</f>
        <v>0</v>
      </c>
      <c r="AI444" s="21" t="s">
        <v>336</v>
      </c>
      <c r="AJ444" s="13">
        <f>IF(AN444=0,M444,0)</f>
        <v>0</v>
      </c>
      <c r="AK444" s="13">
        <f>IF(AN444=15,M444,0)</f>
        <v>0</v>
      </c>
      <c r="AL444" s="13">
        <f>IF(AN444=21,M444,0)</f>
        <v>0</v>
      </c>
      <c r="AN444" s="13">
        <v>21</v>
      </c>
      <c r="AO444" s="13">
        <f>J444*0.50338066410648</f>
        <v>0</v>
      </c>
      <c r="AP444" s="13">
        <f>J444*(1-0.50338066410648)</f>
        <v>0</v>
      </c>
      <c r="AQ444" s="32" t="s">
        <v>1231</v>
      </c>
      <c r="AV444" s="13">
        <f>AW444+AX444</f>
        <v>0</v>
      </c>
      <c r="AW444" s="13">
        <f>I444*AO444</f>
        <v>0</v>
      </c>
      <c r="AX444" s="13">
        <f>I444*AP444</f>
        <v>0</v>
      </c>
      <c r="AY444" s="32" t="s">
        <v>238</v>
      </c>
      <c r="AZ444" s="32" t="s">
        <v>218</v>
      </c>
      <c r="BA444" s="21" t="s">
        <v>305</v>
      </c>
      <c r="BC444" s="13">
        <f>AW444+AX444</f>
        <v>0</v>
      </c>
      <c r="BD444" s="13">
        <f>J444/(100-BE444)*100</f>
        <v>0</v>
      </c>
      <c r="BE444" s="13">
        <v>0</v>
      </c>
      <c r="BF444" s="13">
        <f>444</f>
        <v>444</v>
      </c>
      <c r="BH444" s="13">
        <f>I444*AO444</f>
        <v>0</v>
      </c>
      <c r="BI444" s="13">
        <f>I444*AP444</f>
        <v>0</v>
      </c>
      <c r="BJ444" s="13">
        <f>I444*J444</f>
        <v>0</v>
      </c>
      <c r="BK444" s="13"/>
      <c r="BL444" s="13">
        <v>17</v>
      </c>
    </row>
    <row r="445" spans="1:64" ht="15" customHeight="1">
      <c r="A445" s="11" t="s">
        <v>1362</v>
      </c>
      <c r="B445" s="48" t="s">
        <v>336</v>
      </c>
      <c r="C445" s="48" t="s">
        <v>911</v>
      </c>
      <c r="D445" s="61" t="s">
        <v>638</v>
      </c>
      <c r="E445" s="61"/>
      <c r="F445" s="61"/>
      <c r="G445" s="61"/>
      <c r="H445" s="48" t="s">
        <v>1195</v>
      </c>
      <c r="I445" s="13">
        <v>256.5675</v>
      </c>
      <c r="J445" s="13">
        <v>0</v>
      </c>
      <c r="K445" s="13">
        <f>I445*AO445</f>
        <v>0</v>
      </c>
      <c r="L445" s="13">
        <f>I445*AP445</f>
        <v>0</v>
      </c>
      <c r="M445" s="13">
        <f>I445*J445</f>
        <v>0</v>
      </c>
      <c r="N445" s="13">
        <v>0</v>
      </c>
      <c r="O445" s="10" t="s">
        <v>851</v>
      </c>
      <c r="Z445" s="13">
        <f>IF(AQ445="5",BJ445,0)</f>
        <v>0</v>
      </c>
      <c r="AB445" s="13">
        <f>IF(AQ445="1",BH445,0)</f>
        <v>0</v>
      </c>
      <c r="AC445" s="13">
        <f>IF(AQ445="1",BI445,0)</f>
        <v>0</v>
      </c>
      <c r="AD445" s="13">
        <f>IF(AQ445="7",BH445,0)</f>
        <v>0</v>
      </c>
      <c r="AE445" s="13">
        <f>IF(AQ445="7",BI445,0)</f>
        <v>0</v>
      </c>
      <c r="AF445" s="13">
        <f>IF(AQ445="2",BH445,0)</f>
        <v>0</v>
      </c>
      <c r="AG445" s="13">
        <f>IF(AQ445="2",BI445,0)</f>
        <v>0</v>
      </c>
      <c r="AH445" s="13">
        <f>IF(AQ445="0",BJ445,0)</f>
        <v>0</v>
      </c>
      <c r="AI445" s="21" t="s">
        <v>336</v>
      </c>
      <c r="AJ445" s="13">
        <f>IF(AN445=0,M445,0)</f>
        <v>0</v>
      </c>
      <c r="AK445" s="13">
        <f>IF(AN445=15,M445,0)</f>
        <v>0</v>
      </c>
      <c r="AL445" s="13">
        <f>IF(AN445=21,M445,0)</f>
        <v>0</v>
      </c>
      <c r="AN445" s="13">
        <v>21</v>
      </c>
      <c r="AO445" s="13">
        <f>J445*0</f>
        <v>0</v>
      </c>
      <c r="AP445" s="13">
        <f>J445*(1-0)</f>
        <v>0</v>
      </c>
      <c r="AQ445" s="32" t="s">
        <v>1231</v>
      </c>
      <c r="AV445" s="13">
        <f>AW445+AX445</f>
        <v>0</v>
      </c>
      <c r="AW445" s="13">
        <f>I445*AO445</f>
        <v>0</v>
      </c>
      <c r="AX445" s="13">
        <f>I445*AP445</f>
        <v>0</v>
      </c>
      <c r="AY445" s="32" t="s">
        <v>238</v>
      </c>
      <c r="AZ445" s="32" t="s">
        <v>218</v>
      </c>
      <c r="BA445" s="21" t="s">
        <v>305</v>
      </c>
      <c r="BC445" s="13">
        <f>AW445+AX445</f>
        <v>0</v>
      </c>
      <c r="BD445" s="13">
        <f>J445/(100-BE445)*100</f>
        <v>0</v>
      </c>
      <c r="BE445" s="13">
        <v>0</v>
      </c>
      <c r="BF445" s="13">
        <f>445</f>
        <v>445</v>
      </c>
      <c r="BH445" s="13">
        <f>I445*AO445</f>
        <v>0</v>
      </c>
      <c r="BI445" s="13">
        <f>I445*AP445</f>
        <v>0</v>
      </c>
      <c r="BJ445" s="13">
        <f>I445*J445</f>
        <v>0</v>
      </c>
      <c r="BK445" s="13"/>
      <c r="BL445" s="13">
        <v>17</v>
      </c>
    </row>
    <row r="446" spans="1:47" ht="15" customHeight="1">
      <c r="A446" s="30" t="s">
        <v>862</v>
      </c>
      <c r="B446" s="18" t="s">
        <v>336</v>
      </c>
      <c r="C446" s="18" t="s">
        <v>993</v>
      </c>
      <c r="D446" s="73" t="s">
        <v>1249</v>
      </c>
      <c r="E446" s="73"/>
      <c r="F446" s="73"/>
      <c r="G446" s="73"/>
      <c r="H446" s="15" t="s">
        <v>1148</v>
      </c>
      <c r="I446" s="15" t="s">
        <v>1148</v>
      </c>
      <c r="J446" s="15" t="s">
        <v>1148</v>
      </c>
      <c r="K446" s="56">
        <f>SUM(K447:K448)</f>
        <v>0</v>
      </c>
      <c r="L446" s="56">
        <f>SUM(L447:L448)</f>
        <v>0</v>
      </c>
      <c r="M446" s="56">
        <f>SUM(M447:M448)</f>
        <v>0</v>
      </c>
      <c r="N446" s="21" t="s">
        <v>862</v>
      </c>
      <c r="O446" s="47" t="s">
        <v>862</v>
      </c>
      <c r="AI446" s="21" t="s">
        <v>336</v>
      </c>
      <c r="AS446" s="56">
        <f>SUM(AJ447:AJ448)</f>
        <v>0</v>
      </c>
      <c r="AT446" s="56">
        <f>SUM(AK447:AK448)</f>
        <v>0</v>
      </c>
      <c r="AU446" s="56">
        <f>SUM(AL447:AL448)</f>
        <v>0</v>
      </c>
    </row>
    <row r="447" spans="1:64" ht="15" customHeight="1">
      <c r="A447" s="11" t="s">
        <v>1013</v>
      </c>
      <c r="B447" s="48" t="s">
        <v>336</v>
      </c>
      <c r="C447" s="48" t="s">
        <v>652</v>
      </c>
      <c r="D447" s="61" t="s">
        <v>990</v>
      </c>
      <c r="E447" s="61"/>
      <c r="F447" s="61"/>
      <c r="G447" s="61"/>
      <c r="H447" s="48" t="s">
        <v>1216</v>
      </c>
      <c r="I447" s="13">
        <v>75</v>
      </c>
      <c r="J447" s="13">
        <v>0</v>
      </c>
      <c r="K447" s="13">
        <f>I447*AO447</f>
        <v>0</v>
      </c>
      <c r="L447" s="13">
        <f>I447*AP447</f>
        <v>0</v>
      </c>
      <c r="M447" s="13">
        <f>I447*J447</f>
        <v>0</v>
      </c>
      <c r="N447" s="13">
        <v>3E-05</v>
      </c>
      <c r="O447" s="10" t="s">
        <v>851</v>
      </c>
      <c r="Z447" s="13">
        <f>IF(AQ447="5",BJ447,0)</f>
        <v>0</v>
      </c>
      <c r="AB447" s="13">
        <f>IF(AQ447="1",BH447,0)</f>
        <v>0</v>
      </c>
      <c r="AC447" s="13">
        <f>IF(AQ447="1",BI447,0)</f>
        <v>0</v>
      </c>
      <c r="AD447" s="13">
        <f>IF(AQ447="7",BH447,0)</f>
        <v>0</v>
      </c>
      <c r="AE447" s="13">
        <f>IF(AQ447="7",BI447,0)</f>
        <v>0</v>
      </c>
      <c r="AF447" s="13">
        <f>IF(AQ447="2",BH447,0)</f>
        <v>0</v>
      </c>
      <c r="AG447" s="13">
        <f>IF(AQ447="2",BI447,0)</f>
        <v>0</v>
      </c>
      <c r="AH447" s="13">
        <f>IF(AQ447="0",BJ447,0)</f>
        <v>0</v>
      </c>
      <c r="AI447" s="21" t="s">
        <v>336</v>
      </c>
      <c r="AJ447" s="13">
        <f>IF(AN447=0,M447,0)</f>
        <v>0</v>
      </c>
      <c r="AK447" s="13">
        <f>IF(AN447=15,M447,0)</f>
        <v>0</v>
      </c>
      <c r="AL447" s="13">
        <f>IF(AN447=21,M447,0)</f>
        <v>0</v>
      </c>
      <c r="AN447" s="13">
        <v>21</v>
      </c>
      <c r="AO447" s="13">
        <f>J447*0.0401051939513478</f>
        <v>0</v>
      </c>
      <c r="AP447" s="13">
        <f>J447*(1-0.0401051939513478)</f>
        <v>0</v>
      </c>
      <c r="AQ447" s="32" t="s">
        <v>1231</v>
      </c>
      <c r="AV447" s="13">
        <f>AW447+AX447</f>
        <v>0</v>
      </c>
      <c r="AW447" s="13">
        <f>I447*AO447</f>
        <v>0</v>
      </c>
      <c r="AX447" s="13">
        <f>I447*AP447</f>
        <v>0</v>
      </c>
      <c r="AY447" s="32" t="s">
        <v>603</v>
      </c>
      <c r="AZ447" s="32" t="s">
        <v>218</v>
      </c>
      <c r="BA447" s="21" t="s">
        <v>305</v>
      </c>
      <c r="BC447" s="13">
        <f>AW447+AX447</f>
        <v>0</v>
      </c>
      <c r="BD447" s="13">
        <f>J447/(100-BE447)*100</f>
        <v>0</v>
      </c>
      <c r="BE447" s="13">
        <v>0</v>
      </c>
      <c r="BF447" s="13">
        <f>447</f>
        <v>447</v>
      </c>
      <c r="BH447" s="13">
        <f>I447*AO447</f>
        <v>0</v>
      </c>
      <c r="BI447" s="13">
        <f>I447*AP447</f>
        <v>0</v>
      </c>
      <c r="BJ447" s="13">
        <f>I447*J447</f>
        <v>0</v>
      </c>
      <c r="BK447" s="13"/>
      <c r="BL447" s="13">
        <v>18</v>
      </c>
    </row>
    <row r="448" spans="1:64" ht="15" customHeight="1">
      <c r="A448" s="11" t="s">
        <v>1383</v>
      </c>
      <c r="B448" s="48" t="s">
        <v>336</v>
      </c>
      <c r="C448" s="48" t="s">
        <v>1258</v>
      </c>
      <c r="D448" s="61" t="s">
        <v>1324</v>
      </c>
      <c r="E448" s="61"/>
      <c r="F448" s="61"/>
      <c r="G448" s="61"/>
      <c r="H448" s="48" t="s">
        <v>1172</v>
      </c>
      <c r="I448" s="13">
        <v>1.5</v>
      </c>
      <c r="J448" s="13">
        <v>0</v>
      </c>
      <c r="K448" s="13">
        <f>I448*AO448</f>
        <v>0</v>
      </c>
      <c r="L448" s="13">
        <f>I448*AP448</f>
        <v>0</v>
      </c>
      <c r="M448" s="13">
        <f>I448*J448</f>
        <v>0</v>
      </c>
      <c r="N448" s="13">
        <v>0.001</v>
      </c>
      <c r="O448" s="10" t="s">
        <v>851</v>
      </c>
      <c r="Z448" s="13">
        <f>IF(AQ448="5",BJ448,0)</f>
        <v>0</v>
      </c>
      <c r="AB448" s="13">
        <f>IF(AQ448="1",BH448,0)</f>
        <v>0</v>
      </c>
      <c r="AC448" s="13">
        <f>IF(AQ448="1",BI448,0)</f>
        <v>0</v>
      </c>
      <c r="AD448" s="13">
        <f>IF(AQ448="7",BH448,0)</f>
        <v>0</v>
      </c>
      <c r="AE448" s="13">
        <f>IF(AQ448="7",BI448,0)</f>
        <v>0</v>
      </c>
      <c r="AF448" s="13">
        <f>IF(AQ448="2",BH448,0)</f>
        <v>0</v>
      </c>
      <c r="AG448" s="13">
        <f>IF(AQ448="2",BI448,0)</f>
        <v>0</v>
      </c>
      <c r="AH448" s="13">
        <f>IF(AQ448="0",BJ448,0)</f>
        <v>0</v>
      </c>
      <c r="AI448" s="21" t="s">
        <v>336</v>
      </c>
      <c r="AJ448" s="13">
        <f>IF(AN448=0,M448,0)</f>
        <v>0</v>
      </c>
      <c r="AK448" s="13">
        <f>IF(AN448=15,M448,0)</f>
        <v>0</v>
      </c>
      <c r="AL448" s="13">
        <f>IF(AN448=21,M448,0)</f>
        <v>0</v>
      </c>
      <c r="AN448" s="13">
        <v>21</v>
      </c>
      <c r="AO448" s="13">
        <f>J448*1</f>
        <v>0</v>
      </c>
      <c r="AP448" s="13">
        <f>J448*(1-1)</f>
        <v>0</v>
      </c>
      <c r="AQ448" s="32" t="s">
        <v>1231</v>
      </c>
      <c r="AV448" s="13">
        <f>AW448+AX448</f>
        <v>0</v>
      </c>
      <c r="AW448" s="13">
        <f>I448*AO448</f>
        <v>0</v>
      </c>
      <c r="AX448" s="13">
        <f>I448*AP448</f>
        <v>0</v>
      </c>
      <c r="AY448" s="32" t="s">
        <v>603</v>
      </c>
      <c r="AZ448" s="32" t="s">
        <v>218</v>
      </c>
      <c r="BA448" s="21" t="s">
        <v>305</v>
      </c>
      <c r="BC448" s="13">
        <f>AW448+AX448</f>
        <v>0</v>
      </c>
      <c r="BD448" s="13">
        <f>J448/(100-BE448)*100</f>
        <v>0</v>
      </c>
      <c r="BE448" s="13">
        <v>0</v>
      </c>
      <c r="BF448" s="13">
        <f>448</f>
        <v>448</v>
      </c>
      <c r="BH448" s="13">
        <f>I448*AO448</f>
        <v>0</v>
      </c>
      <c r="BI448" s="13">
        <f>I448*AP448</f>
        <v>0</v>
      </c>
      <c r="BJ448" s="13">
        <f>I448*J448</f>
        <v>0</v>
      </c>
      <c r="BK448" s="13"/>
      <c r="BL448" s="13">
        <v>18</v>
      </c>
    </row>
    <row r="449" spans="1:47" ht="15" customHeight="1">
      <c r="A449" s="30" t="s">
        <v>862</v>
      </c>
      <c r="B449" s="18" t="s">
        <v>336</v>
      </c>
      <c r="C449" s="18" t="s">
        <v>789</v>
      </c>
      <c r="D449" s="73" t="s">
        <v>419</v>
      </c>
      <c r="E449" s="73"/>
      <c r="F449" s="73"/>
      <c r="G449" s="73"/>
      <c r="H449" s="15" t="s">
        <v>1148</v>
      </c>
      <c r="I449" s="15" t="s">
        <v>1148</v>
      </c>
      <c r="J449" s="15" t="s">
        <v>1148</v>
      </c>
      <c r="K449" s="56">
        <f>SUM(K450:K450)</f>
        <v>0</v>
      </c>
      <c r="L449" s="56">
        <f>SUM(L450:L450)</f>
        <v>0</v>
      </c>
      <c r="M449" s="56">
        <f>SUM(M450:M450)</f>
        <v>0</v>
      </c>
      <c r="N449" s="21" t="s">
        <v>862</v>
      </c>
      <c r="O449" s="47" t="s">
        <v>862</v>
      </c>
      <c r="AI449" s="21" t="s">
        <v>336</v>
      </c>
      <c r="AS449" s="56">
        <f>SUM(AJ450:AJ450)</f>
        <v>0</v>
      </c>
      <c r="AT449" s="56">
        <f>SUM(AK450:AK450)</f>
        <v>0</v>
      </c>
      <c r="AU449" s="56">
        <f>SUM(AL450:AL450)</f>
        <v>0</v>
      </c>
    </row>
    <row r="450" spans="1:64" ht="15" customHeight="1">
      <c r="A450" s="11" t="s">
        <v>461</v>
      </c>
      <c r="B450" s="48" t="s">
        <v>336</v>
      </c>
      <c r="C450" s="48" t="s">
        <v>849</v>
      </c>
      <c r="D450" s="61" t="s">
        <v>1192</v>
      </c>
      <c r="E450" s="61"/>
      <c r="F450" s="61"/>
      <c r="G450" s="61"/>
      <c r="H450" s="48" t="s">
        <v>1195</v>
      </c>
      <c r="I450" s="13">
        <v>110</v>
      </c>
      <c r="J450" s="13">
        <v>0</v>
      </c>
      <c r="K450" s="13">
        <f>I450*AO450</f>
        <v>0</v>
      </c>
      <c r="L450" s="13">
        <f>I450*AP450</f>
        <v>0</v>
      </c>
      <c r="M450" s="13">
        <f>I450*J450</f>
        <v>0</v>
      </c>
      <c r="N450" s="13">
        <v>0</v>
      </c>
      <c r="O450" s="10" t="s">
        <v>851</v>
      </c>
      <c r="Z450" s="13">
        <f>IF(AQ450="5",BJ450,0)</f>
        <v>0</v>
      </c>
      <c r="AB450" s="13">
        <f>IF(AQ450="1",BH450,0)</f>
        <v>0</v>
      </c>
      <c r="AC450" s="13">
        <f>IF(AQ450="1",BI450,0)</f>
        <v>0</v>
      </c>
      <c r="AD450" s="13">
        <f>IF(AQ450="7",BH450,0)</f>
        <v>0</v>
      </c>
      <c r="AE450" s="13">
        <f>IF(AQ450="7",BI450,0)</f>
        <v>0</v>
      </c>
      <c r="AF450" s="13">
        <f>IF(AQ450="2",BH450,0)</f>
        <v>0</v>
      </c>
      <c r="AG450" s="13">
        <f>IF(AQ450="2",BI450,0)</f>
        <v>0</v>
      </c>
      <c r="AH450" s="13">
        <f>IF(AQ450="0",BJ450,0)</f>
        <v>0</v>
      </c>
      <c r="AI450" s="21" t="s">
        <v>336</v>
      </c>
      <c r="AJ450" s="13">
        <f>IF(AN450=0,M450,0)</f>
        <v>0</v>
      </c>
      <c r="AK450" s="13">
        <f>IF(AN450=15,M450,0)</f>
        <v>0</v>
      </c>
      <c r="AL450" s="13">
        <f>IF(AN450=21,M450,0)</f>
        <v>0</v>
      </c>
      <c r="AN450" s="13">
        <v>21</v>
      </c>
      <c r="AO450" s="13">
        <f>J450*0</f>
        <v>0</v>
      </c>
      <c r="AP450" s="13">
        <f>J450*(1-0)</f>
        <v>0</v>
      </c>
      <c r="AQ450" s="32" t="s">
        <v>1231</v>
      </c>
      <c r="AV450" s="13">
        <f>AW450+AX450</f>
        <v>0</v>
      </c>
      <c r="AW450" s="13">
        <f>I450*AO450</f>
        <v>0</v>
      </c>
      <c r="AX450" s="13">
        <f>I450*AP450</f>
        <v>0</v>
      </c>
      <c r="AY450" s="32" t="s">
        <v>976</v>
      </c>
      <c r="AZ450" s="32" t="s">
        <v>218</v>
      </c>
      <c r="BA450" s="21" t="s">
        <v>305</v>
      </c>
      <c r="BC450" s="13">
        <f>AW450+AX450</f>
        <v>0</v>
      </c>
      <c r="BD450" s="13">
        <f>J450/(100-BE450)*100</f>
        <v>0</v>
      </c>
      <c r="BE450" s="13">
        <v>0</v>
      </c>
      <c r="BF450" s="13">
        <f>450</f>
        <v>450</v>
      </c>
      <c r="BH450" s="13">
        <f>I450*AO450</f>
        <v>0</v>
      </c>
      <c r="BI450" s="13">
        <f>I450*AP450</f>
        <v>0</v>
      </c>
      <c r="BJ450" s="13">
        <f>I450*J450</f>
        <v>0</v>
      </c>
      <c r="BK450" s="13"/>
      <c r="BL450" s="13">
        <v>19</v>
      </c>
    </row>
    <row r="451" spans="1:47" ht="15" customHeight="1">
      <c r="A451" s="30" t="s">
        <v>862</v>
      </c>
      <c r="B451" s="18" t="s">
        <v>336</v>
      </c>
      <c r="C451" s="18" t="s">
        <v>423</v>
      </c>
      <c r="D451" s="73" t="s">
        <v>968</v>
      </c>
      <c r="E451" s="73"/>
      <c r="F451" s="73"/>
      <c r="G451" s="73"/>
      <c r="H451" s="15" t="s">
        <v>1148</v>
      </c>
      <c r="I451" s="15" t="s">
        <v>1148</v>
      </c>
      <c r="J451" s="15" t="s">
        <v>1148</v>
      </c>
      <c r="K451" s="56">
        <f>SUM(K452:K452)</f>
        <v>0</v>
      </c>
      <c r="L451" s="56">
        <f>SUM(L452:L452)</f>
        <v>0</v>
      </c>
      <c r="M451" s="56">
        <f>SUM(M452:M452)</f>
        <v>0</v>
      </c>
      <c r="N451" s="21" t="s">
        <v>862</v>
      </c>
      <c r="O451" s="47" t="s">
        <v>862</v>
      </c>
      <c r="AI451" s="21" t="s">
        <v>336</v>
      </c>
      <c r="AS451" s="56">
        <f>SUM(AJ452:AJ452)</f>
        <v>0</v>
      </c>
      <c r="AT451" s="56">
        <f>SUM(AK452:AK452)</f>
        <v>0</v>
      </c>
      <c r="AU451" s="56">
        <f>SUM(AL452:AL452)</f>
        <v>0</v>
      </c>
    </row>
    <row r="452" spans="1:64" ht="15" customHeight="1">
      <c r="A452" s="11" t="s">
        <v>216</v>
      </c>
      <c r="B452" s="48" t="s">
        <v>336</v>
      </c>
      <c r="C452" s="48" t="s">
        <v>880</v>
      </c>
      <c r="D452" s="61" t="s">
        <v>358</v>
      </c>
      <c r="E452" s="61"/>
      <c r="F452" s="61"/>
      <c r="G452" s="61"/>
      <c r="H452" s="48" t="s">
        <v>1195</v>
      </c>
      <c r="I452" s="13">
        <v>24.435</v>
      </c>
      <c r="J452" s="13">
        <v>0</v>
      </c>
      <c r="K452" s="13">
        <f>I452*AO452</f>
        <v>0</v>
      </c>
      <c r="L452" s="13">
        <f>I452*AP452</f>
        <v>0</v>
      </c>
      <c r="M452" s="13">
        <f>I452*J452</f>
        <v>0</v>
      </c>
      <c r="N452" s="13">
        <v>1.89077</v>
      </c>
      <c r="O452" s="10" t="s">
        <v>851</v>
      </c>
      <c r="Z452" s="13">
        <f>IF(AQ452="5",BJ452,0)</f>
        <v>0</v>
      </c>
      <c r="AB452" s="13">
        <f>IF(AQ452="1",BH452,0)</f>
        <v>0</v>
      </c>
      <c r="AC452" s="13">
        <f>IF(AQ452="1",BI452,0)</f>
        <v>0</v>
      </c>
      <c r="AD452" s="13">
        <f>IF(AQ452="7",BH452,0)</f>
        <v>0</v>
      </c>
      <c r="AE452" s="13">
        <f>IF(AQ452="7",BI452,0)</f>
        <v>0</v>
      </c>
      <c r="AF452" s="13">
        <f>IF(AQ452="2",BH452,0)</f>
        <v>0</v>
      </c>
      <c r="AG452" s="13">
        <f>IF(AQ452="2",BI452,0)</f>
        <v>0</v>
      </c>
      <c r="AH452" s="13">
        <f>IF(AQ452="0",BJ452,0)</f>
        <v>0</v>
      </c>
      <c r="AI452" s="21" t="s">
        <v>336</v>
      </c>
      <c r="AJ452" s="13">
        <f>IF(AN452=0,M452,0)</f>
        <v>0</v>
      </c>
      <c r="AK452" s="13">
        <f>IF(AN452=15,M452,0)</f>
        <v>0</v>
      </c>
      <c r="AL452" s="13">
        <f>IF(AN452=21,M452,0)</f>
        <v>0</v>
      </c>
      <c r="AN452" s="13">
        <v>21</v>
      </c>
      <c r="AO452" s="13">
        <f>J452*0.480904558404558</f>
        <v>0</v>
      </c>
      <c r="AP452" s="13">
        <f>J452*(1-0.480904558404558)</f>
        <v>0</v>
      </c>
      <c r="AQ452" s="32" t="s">
        <v>1231</v>
      </c>
      <c r="AV452" s="13">
        <f>AW452+AX452</f>
        <v>0</v>
      </c>
      <c r="AW452" s="13">
        <f>I452*AO452</f>
        <v>0</v>
      </c>
      <c r="AX452" s="13">
        <f>I452*AP452</f>
        <v>0</v>
      </c>
      <c r="AY452" s="32" t="s">
        <v>594</v>
      </c>
      <c r="AZ452" s="32" t="s">
        <v>1306</v>
      </c>
      <c r="BA452" s="21" t="s">
        <v>305</v>
      </c>
      <c r="BC452" s="13">
        <f>AW452+AX452</f>
        <v>0</v>
      </c>
      <c r="BD452" s="13">
        <f>J452/(100-BE452)*100</f>
        <v>0</v>
      </c>
      <c r="BE452" s="13">
        <v>0</v>
      </c>
      <c r="BF452" s="13">
        <f>452</f>
        <v>452</v>
      </c>
      <c r="BH452" s="13">
        <f>I452*AO452</f>
        <v>0</v>
      </c>
      <c r="BI452" s="13">
        <f>I452*AP452</f>
        <v>0</v>
      </c>
      <c r="BJ452" s="13">
        <f>I452*J452</f>
        <v>0</v>
      </c>
      <c r="BK452" s="13"/>
      <c r="BL452" s="13">
        <v>45</v>
      </c>
    </row>
    <row r="453" spans="1:47" ht="15" customHeight="1">
      <c r="A453" s="30" t="s">
        <v>862</v>
      </c>
      <c r="B453" s="18" t="s">
        <v>336</v>
      </c>
      <c r="C453" s="18" t="s">
        <v>57</v>
      </c>
      <c r="D453" s="73" t="s">
        <v>93</v>
      </c>
      <c r="E453" s="73"/>
      <c r="F453" s="73"/>
      <c r="G453" s="73"/>
      <c r="H453" s="15" t="s">
        <v>1148</v>
      </c>
      <c r="I453" s="15" t="s">
        <v>1148</v>
      </c>
      <c r="J453" s="15" t="s">
        <v>1148</v>
      </c>
      <c r="K453" s="56">
        <f>SUM(K454:K458)</f>
        <v>0</v>
      </c>
      <c r="L453" s="56">
        <f>SUM(L454:L458)</f>
        <v>0</v>
      </c>
      <c r="M453" s="56">
        <f>SUM(M454:M458)</f>
        <v>0</v>
      </c>
      <c r="N453" s="21" t="s">
        <v>862</v>
      </c>
      <c r="O453" s="47" t="s">
        <v>862</v>
      </c>
      <c r="AI453" s="21" t="s">
        <v>336</v>
      </c>
      <c r="AS453" s="56">
        <f>SUM(AJ454:AJ458)</f>
        <v>0</v>
      </c>
      <c r="AT453" s="56">
        <f>SUM(AK454:AK458)</f>
        <v>0</v>
      </c>
      <c r="AU453" s="56">
        <f>SUM(AL454:AL458)</f>
        <v>0</v>
      </c>
    </row>
    <row r="454" spans="1:64" ht="15" customHeight="1">
      <c r="A454" s="11" t="s">
        <v>1334</v>
      </c>
      <c r="B454" s="48" t="s">
        <v>336</v>
      </c>
      <c r="C454" s="48" t="s">
        <v>1132</v>
      </c>
      <c r="D454" s="61" t="s">
        <v>897</v>
      </c>
      <c r="E454" s="61"/>
      <c r="F454" s="61"/>
      <c r="G454" s="61"/>
      <c r="H454" s="48" t="s">
        <v>1018</v>
      </c>
      <c r="I454" s="13">
        <v>295.3</v>
      </c>
      <c r="J454" s="13">
        <v>0</v>
      </c>
      <c r="K454" s="13">
        <f>I454*AO454</f>
        <v>0</v>
      </c>
      <c r="L454" s="13">
        <f>I454*AP454</f>
        <v>0</v>
      </c>
      <c r="M454" s="13">
        <f>I454*J454</f>
        <v>0</v>
      </c>
      <c r="N454" s="13">
        <v>0</v>
      </c>
      <c r="O454" s="10" t="s">
        <v>851</v>
      </c>
      <c r="Z454" s="13">
        <f>IF(AQ454="5",BJ454,0)</f>
        <v>0</v>
      </c>
      <c r="AB454" s="13">
        <f>IF(AQ454="1",BH454,0)</f>
        <v>0</v>
      </c>
      <c r="AC454" s="13">
        <f>IF(AQ454="1",BI454,0)</f>
        <v>0</v>
      </c>
      <c r="AD454" s="13">
        <f>IF(AQ454="7",BH454,0)</f>
        <v>0</v>
      </c>
      <c r="AE454" s="13">
        <f>IF(AQ454="7",BI454,0)</f>
        <v>0</v>
      </c>
      <c r="AF454" s="13">
        <f>IF(AQ454="2",BH454,0)</f>
        <v>0</v>
      </c>
      <c r="AG454" s="13">
        <f>IF(AQ454="2",BI454,0)</f>
        <v>0</v>
      </c>
      <c r="AH454" s="13">
        <f>IF(AQ454="0",BJ454,0)</f>
        <v>0</v>
      </c>
      <c r="AI454" s="21" t="s">
        <v>336</v>
      </c>
      <c r="AJ454" s="13">
        <f>IF(AN454=0,M454,0)</f>
        <v>0</v>
      </c>
      <c r="AK454" s="13">
        <f>IF(AN454=15,M454,0)</f>
        <v>0</v>
      </c>
      <c r="AL454" s="13">
        <f>IF(AN454=21,M454,0)</f>
        <v>0</v>
      </c>
      <c r="AN454" s="13">
        <v>21</v>
      </c>
      <c r="AO454" s="13">
        <f>J454*0</f>
        <v>0</v>
      </c>
      <c r="AP454" s="13">
        <f>J454*(1-0)</f>
        <v>0</v>
      </c>
      <c r="AQ454" s="32" t="s">
        <v>1231</v>
      </c>
      <c r="AV454" s="13">
        <f>AW454+AX454</f>
        <v>0</v>
      </c>
      <c r="AW454" s="13">
        <f>I454*AO454</f>
        <v>0</v>
      </c>
      <c r="AX454" s="13">
        <f>I454*AP454</f>
        <v>0</v>
      </c>
      <c r="AY454" s="32" t="s">
        <v>81</v>
      </c>
      <c r="AZ454" s="32" t="s">
        <v>679</v>
      </c>
      <c r="BA454" s="21" t="s">
        <v>305</v>
      </c>
      <c r="BC454" s="13">
        <f>AW454+AX454</f>
        <v>0</v>
      </c>
      <c r="BD454" s="13">
        <f>J454/(100-BE454)*100</f>
        <v>0</v>
      </c>
      <c r="BE454" s="13">
        <v>0</v>
      </c>
      <c r="BF454" s="13">
        <f>454</f>
        <v>454</v>
      </c>
      <c r="BH454" s="13">
        <f>I454*AO454</f>
        <v>0</v>
      </c>
      <c r="BI454" s="13">
        <f>I454*AP454</f>
        <v>0</v>
      </c>
      <c r="BJ454" s="13">
        <f>I454*J454</f>
        <v>0</v>
      </c>
      <c r="BK454" s="13"/>
      <c r="BL454" s="13">
        <v>87</v>
      </c>
    </row>
    <row r="455" spans="1:64" ht="15" customHeight="1">
      <c r="A455" s="11" t="s">
        <v>903</v>
      </c>
      <c r="B455" s="48" t="s">
        <v>336</v>
      </c>
      <c r="C455" s="48" t="s">
        <v>717</v>
      </c>
      <c r="D455" s="61" t="s">
        <v>163</v>
      </c>
      <c r="E455" s="61"/>
      <c r="F455" s="61"/>
      <c r="G455" s="61"/>
      <c r="H455" s="48" t="s">
        <v>1018</v>
      </c>
      <c r="I455" s="13">
        <v>298.253</v>
      </c>
      <c r="J455" s="13">
        <v>0</v>
      </c>
      <c r="K455" s="13">
        <f>I455*AO455</f>
        <v>0</v>
      </c>
      <c r="L455" s="13">
        <f>I455*AP455</f>
        <v>0</v>
      </c>
      <c r="M455" s="13">
        <f>I455*J455</f>
        <v>0</v>
      </c>
      <c r="N455" s="13">
        <v>0.00027</v>
      </c>
      <c r="O455" s="10" t="s">
        <v>851</v>
      </c>
      <c r="Z455" s="13">
        <f>IF(AQ455="5",BJ455,0)</f>
        <v>0</v>
      </c>
      <c r="AB455" s="13">
        <f>IF(AQ455="1",BH455,0)</f>
        <v>0</v>
      </c>
      <c r="AC455" s="13">
        <f>IF(AQ455="1",BI455,0)</f>
        <v>0</v>
      </c>
      <c r="AD455" s="13">
        <f>IF(AQ455="7",BH455,0)</f>
        <v>0</v>
      </c>
      <c r="AE455" s="13">
        <f>IF(AQ455="7",BI455,0)</f>
        <v>0</v>
      </c>
      <c r="AF455" s="13">
        <f>IF(AQ455="2",BH455,0)</f>
        <v>0</v>
      </c>
      <c r="AG455" s="13">
        <f>IF(AQ455="2",BI455,0)</f>
        <v>0</v>
      </c>
      <c r="AH455" s="13">
        <f>IF(AQ455="0",BJ455,0)</f>
        <v>0</v>
      </c>
      <c r="AI455" s="21" t="s">
        <v>336</v>
      </c>
      <c r="AJ455" s="13">
        <f>IF(AN455=0,M455,0)</f>
        <v>0</v>
      </c>
      <c r="AK455" s="13">
        <f>IF(AN455=15,M455,0)</f>
        <v>0</v>
      </c>
      <c r="AL455" s="13">
        <f>IF(AN455=21,M455,0)</f>
        <v>0</v>
      </c>
      <c r="AN455" s="13">
        <v>21</v>
      </c>
      <c r="AO455" s="13">
        <f>J455*1</f>
        <v>0</v>
      </c>
      <c r="AP455" s="13">
        <f>J455*(1-1)</f>
        <v>0</v>
      </c>
      <c r="AQ455" s="32" t="s">
        <v>1231</v>
      </c>
      <c r="AV455" s="13">
        <f>AW455+AX455</f>
        <v>0</v>
      </c>
      <c r="AW455" s="13">
        <f>I455*AO455</f>
        <v>0</v>
      </c>
      <c r="AX455" s="13">
        <f>I455*AP455</f>
        <v>0</v>
      </c>
      <c r="AY455" s="32" t="s">
        <v>81</v>
      </c>
      <c r="AZ455" s="32" t="s">
        <v>679</v>
      </c>
      <c r="BA455" s="21" t="s">
        <v>305</v>
      </c>
      <c r="BC455" s="13">
        <f>AW455+AX455</f>
        <v>0</v>
      </c>
      <c r="BD455" s="13">
        <f>J455/(100-BE455)*100</f>
        <v>0</v>
      </c>
      <c r="BE455" s="13">
        <v>0</v>
      </c>
      <c r="BF455" s="13">
        <f>455</f>
        <v>455</v>
      </c>
      <c r="BH455" s="13">
        <f>I455*AO455</f>
        <v>0</v>
      </c>
      <c r="BI455" s="13">
        <f>I455*AP455</f>
        <v>0</v>
      </c>
      <c r="BJ455" s="13">
        <f>I455*J455</f>
        <v>0</v>
      </c>
      <c r="BK455" s="13"/>
      <c r="BL455" s="13">
        <v>87</v>
      </c>
    </row>
    <row r="456" spans="1:64" ht="15" customHeight="1">
      <c r="A456" s="11" t="s">
        <v>834</v>
      </c>
      <c r="B456" s="48" t="s">
        <v>336</v>
      </c>
      <c r="C456" s="48" t="s">
        <v>528</v>
      </c>
      <c r="D456" s="61" t="s">
        <v>1269</v>
      </c>
      <c r="E456" s="61"/>
      <c r="F456" s="61"/>
      <c r="G456" s="61"/>
      <c r="H456" s="48" t="s">
        <v>299</v>
      </c>
      <c r="I456" s="13">
        <v>24</v>
      </c>
      <c r="J456" s="13">
        <v>0</v>
      </c>
      <c r="K456" s="13">
        <f>I456*AO456</f>
        <v>0</v>
      </c>
      <c r="L456" s="13">
        <f>I456*AP456</f>
        <v>0</v>
      </c>
      <c r="M456" s="13">
        <f>I456*J456</f>
        <v>0</v>
      </c>
      <c r="N456" s="13">
        <v>0</v>
      </c>
      <c r="O456" s="10" t="s">
        <v>851</v>
      </c>
      <c r="Z456" s="13">
        <f>IF(AQ456="5",BJ456,0)</f>
        <v>0</v>
      </c>
      <c r="AB456" s="13">
        <f>IF(AQ456="1",BH456,0)</f>
        <v>0</v>
      </c>
      <c r="AC456" s="13">
        <f>IF(AQ456="1",BI456,0)</f>
        <v>0</v>
      </c>
      <c r="AD456" s="13">
        <f>IF(AQ456="7",BH456,0)</f>
        <v>0</v>
      </c>
      <c r="AE456" s="13">
        <f>IF(AQ456="7",BI456,0)</f>
        <v>0</v>
      </c>
      <c r="AF456" s="13">
        <f>IF(AQ456="2",BH456,0)</f>
        <v>0</v>
      </c>
      <c r="AG456" s="13">
        <f>IF(AQ456="2",BI456,0)</f>
        <v>0</v>
      </c>
      <c r="AH456" s="13">
        <f>IF(AQ456="0",BJ456,0)</f>
        <v>0</v>
      </c>
      <c r="AI456" s="21" t="s">
        <v>336</v>
      </c>
      <c r="AJ456" s="13">
        <f>IF(AN456=0,M456,0)</f>
        <v>0</v>
      </c>
      <c r="AK456" s="13">
        <f>IF(AN456=15,M456,0)</f>
        <v>0</v>
      </c>
      <c r="AL456" s="13">
        <f>IF(AN456=21,M456,0)</f>
        <v>0</v>
      </c>
      <c r="AN456" s="13">
        <v>21</v>
      </c>
      <c r="AO456" s="13">
        <f>J456*0</f>
        <v>0</v>
      </c>
      <c r="AP456" s="13">
        <f>J456*(1-0)</f>
        <v>0</v>
      </c>
      <c r="AQ456" s="32" t="s">
        <v>1231</v>
      </c>
      <c r="AV456" s="13">
        <f>AW456+AX456</f>
        <v>0</v>
      </c>
      <c r="AW456" s="13">
        <f>I456*AO456</f>
        <v>0</v>
      </c>
      <c r="AX456" s="13">
        <f>I456*AP456</f>
        <v>0</v>
      </c>
      <c r="AY456" s="32" t="s">
        <v>81</v>
      </c>
      <c r="AZ456" s="32" t="s">
        <v>679</v>
      </c>
      <c r="BA456" s="21" t="s">
        <v>305</v>
      </c>
      <c r="BC456" s="13">
        <f>AW456+AX456</f>
        <v>0</v>
      </c>
      <c r="BD456" s="13">
        <f>J456/(100-BE456)*100</f>
        <v>0</v>
      </c>
      <c r="BE456" s="13">
        <v>0</v>
      </c>
      <c r="BF456" s="13">
        <f>456</f>
        <v>456</v>
      </c>
      <c r="BH456" s="13">
        <f>I456*AO456</f>
        <v>0</v>
      </c>
      <c r="BI456" s="13">
        <f>I456*AP456</f>
        <v>0</v>
      </c>
      <c r="BJ456" s="13">
        <f>I456*J456</f>
        <v>0</v>
      </c>
      <c r="BK456" s="13"/>
      <c r="BL456" s="13">
        <v>87</v>
      </c>
    </row>
    <row r="457" spans="1:64" ht="15" customHeight="1">
      <c r="A457" s="11" t="s">
        <v>1297</v>
      </c>
      <c r="B457" s="48" t="s">
        <v>336</v>
      </c>
      <c r="C457" s="48" t="s">
        <v>1326</v>
      </c>
      <c r="D457" s="61" t="s">
        <v>535</v>
      </c>
      <c r="E457" s="61"/>
      <c r="F457" s="61"/>
      <c r="G457" s="61"/>
      <c r="H457" s="48" t="s">
        <v>299</v>
      </c>
      <c r="I457" s="13">
        <v>24</v>
      </c>
      <c r="J457" s="13">
        <v>0</v>
      </c>
      <c r="K457" s="13">
        <f>I457*AO457</f>
        <v>0</v>
      </c>
      <c r="L457" s="13">
        <f>I457*AP457</f>
        <v>0</v>
      </c>
      <c r="M457" s="13">
        <f>I457*J457</f>
        <v>0</v>
      </c>
      <c r="N457" s="13">
        <v>0.0001</v>
      </c>
      <c r="O457" s="10" t="s">
        <v>851</v>
      </c>
      <c r="Z457" s="13">
        <f>IF(AQ457="5",BJ457,0)</f>
        <v>0</v>
      </c>
      <c r="AB457" s="13">
        <f>IF(AQ457="1",BH457,0)</f>
        <v>0</v>
      </c>
      <c r="AC457" s="13">
        <f>IF(AQ457="1",BI457,0)</f>
        <v>0</v>
      </c>
      <c r="AD457" s="13">
        <f>IF(AQ457="7",BH457,0)</f>
        <v>0</v>
      </c>
      <c r="AE457" s="13">
        <f>IF(AQ457="7",BI457,0)</f>
        <v>0</v>
      </c>
      <c r="AF457" s="13">
        <f>IF(AQ457="2",BH457,0)</f>
        <v>0</v>
      </c>
      <c r="AG457" s="13">
        <f>IF(AQ457="2",BI457,0)</f>
        <v>0</v>
      </c>
      <c r="AH457" s="13">
        <f>IF(AQ457="0",BJ457,0)</f>
        <v>0</v>
      </c>
      <c r="AI457" s="21" t="s">
        <v>336</v>
      </c>
      <c r="AJ457" s="13">
        <f>IF(AN457=0,M457,0)</f>
        <v>0</v>
      </c>
      <c r="AK457" s="13">
        <f>IF(AN457=15,M457,0)</f>
        <v>0</v>
      </c>
      <c r="AL457" s="13">
        <f>IF(AN457=21,M457,0)</f>
        <v>0</v>
      </c>
      <c r="AN457" s="13">
        <v>21</v>
      </c>
      <c r="AO457" s="13">
        <f>J457*1</f>
        <v>0</v>
      </c>
      <c r="AP457" s="13">
        <f>J457*(1-1)</f>
        <v>0</v>
      </c>
      <c r="AQ457" s="32" t="s">
        <v>1231</v>
      </c>
      <c r="AV457" s="13">
        <f>AW457+AX457</f>
        <v>0</v>
      </c>
      <c r="AW457" s="13">
        <f>I457*AO457</f>
        <v>0</v>
      </c>
      <c r="AX457" s="13">
        <f>I457*AP457</f>
        <v>0</v>
      </c>
      <c r="AY457" s="32" t="s">
        <v>81</v>
      </c>
      <c r="AZ457" s="32" t="s">
        <v>679</v>
      </c>
      <c r="BA457" s="21" t="s">
        <v>305</v>
      </c>
      <c r="BC457" s="13">
        <f>AW457+AX457</f>
        <v>0</v>
      </c>
      <c r="BD457" s="13">
        <f>J457/(100-BE457)*100</f>
        <v>0</v>
      </c>
      <c r="BE457" s="13">
        <v>0</v>
      </c>
      <c r="BF457" s="13">
        <f>457</f>
        <v>457</v>
      </c>
      <c r="BH457" s="13">
        <f>I457*AO457</f>
        <v>0</v>
      </c>
      <c r="BI457" s="13">
        <f>I457*AP457</f>
        <v>0</v>
      </c>
      <c r="BJ457" s="13">
        <f>I457*J457</f>
        <v>0</v>
      </c>
      <c r="BK457" s="13"/>
      <c r="BL457" s="13">
        <v>87</v>
      </c>
    </row>
    <row r="458" spans="1:64" ht="15" customHeight="1">
      <c r="A458" s="11" t="s">
        <v>1277</v>
      </c>
      <c r="B458" s="48" t="s">
        <v>336</v>
      </c>
      <c r="C458" s="48" t="s">
        <v>760</v>
      </c>
      <c r="D458" s="61" t="s">
        <v>324</v>
      </c>
      <c r="E458" s="61"/>
      <c r="F458" s="61"/>
      <c r="G458" s="61"/>
      <c r="H458" s="48" t="s">
        <v>299</v>
      </c>
      <c r="I458" s="13">
        <v>23</v>
      </c>
      <c r="J458" s="13">
        <v>0</v>
      </c>
      <c r="K458" s="13">
        <f>I458*AO458</f>
        <v>0</v>
      </c>
      <c r="L458" s="13">
        <f>I458*AP458</f>
        <v>0</v>
      </c>
      <c r="M458" s="13">
        <f>I458*J458</f>
        <v>0</v>
      </c>
      <c r="N458" s="13">
        <v>0</v>
      </c>
      <c r="O458" s="10" t="s">
        <v>851</v>
      </c>
      <c r="Z458" s="13">
        <f>IF(AQ458="5",BJ458,0)</f>
        <v>0</v>
      </c>
      <c r="AB458" s="13">
        <f>IF(AQ458="1",BH458,0)</f>
        <v>0</v>
      </c>
      <c r="AC458" s="13">
        <f>IF(AQ458="1",BI458,0)</f>
        <v>0</v>
      </c>
      <c r="AD458" s="13">
        <f>IF(AQ458="7",BH458,0)</f>
        <v>0</v>
      </c>
      <c r="AE458" s="13">
        <f>IF(AQ458="7",BI458,0)</f>
        <v>0</v>
      </c>
      <c r="AF458" s="13">
        <f>IF(AQ458="2",BH458,0)</f>
        <v>0</v>
      </c>
      <c r="AG458" s="13">
        <f>IF(AQ458="2",BI458,0)</f>
        <v>0</v>
      </c>
      <c r="AH458" s="13">
        <f>IF(AQ458="0",BJ458,0)</f>
        <v>0</v>
      </c>
      <c r="AI458" s="21" t="s">
        <v>336</v>
      </c>
      <c r="AJ458" s="13">
        <f>IF(AN458=0,M458,0)</f>
        <v>0</v>
      </c>
      <c r="AK458" s="13">
        <f>IF(AN458=15,M458,0)</f>
        <v>0</v>
      </c>
      <c r="AL458" s="13">
        <f>IF(AN458=21,M458,0)</f>
        <v>0</v>
      </c>
      <c r="AN458" s="13">
        <v>21</v>
      </c>
      <c r="AO458" s="13">
        <f>J458*1</f>
        <v>0</v>
      </c>
      <c r="AP458" s="13">
        <f>J458*(1-1)</f>
        <v>0</v>
      </c>
      <c r="AQ458" s="32" t="s">
        <v>1231</v>
      </c>
      <c r="AV458" s="13">
        <f>AW458+AX458</f>
        <v>0</v>
      </c>
      <c r="AW458" s="13">
        <f>I458*AO458</f>
        <v>0</v>
      </c>
      <c r="AX458" s="13">
        <f>I458*AP458</f>
        <v>0</v>
      </c>
      <c r="AY458" s="32" t="s">
        <v>81</v>
      </c>
      <c r="AZ458" s="32" t="s">
        <v>679</v>
      </c>
      <c r="BA458" s="21" t="s">
        <v>305</v>
      </c>
      <c r="BC458" s="13">
        <f>AW458+AX458</f>
        <v>0</v>
      </c>
      <c r="BD458" s="13">
        <f>J458/(100-BE458)*100</f>
        <v>0</v>
      </c>
      <c r="BE458" s="13">
        <v>0</v>
      </c>
      <c r="BF458" s="13">
        <f>458</f>
        <v>458</v>
      </c>
      <c r="BH458" s="13">
        <f>I458*AO458</f>
        <v>0</v>
      </c>
      <c r="BI458" s="13">
        <f>I458*AP458</f>
        <v>0</v>
      </c>
      <c r="BJ458" s="13">
        <f>I458*J458</f>
        <v>0</v>
      </c>
      <c r="BK458" s="13"/>
      <c r="BL458" s="13">
        <v>87</v>
      </c>
    </row>
    <row r="459" spans="1:47" ht="15" customHeight="1">
      <c r="A459" s="30" t="s">
        <v>862</v>
      </c>
      <c r="B459" s="18" t="s">
        <v>336</v>
      </c>
      <c r="C459" s="18" t="s">
        <v>1308</v>
      </c>
      <c r="D459" s="73" t="s">
        <v>805</v>
      </c>
      <c r="E459" s="73"/>
      <c r="F459" s="73"/>
      <c r="G459" s="73"/>
      <c r="H459" s="15" t="s">
        <v>1148</v>
      </c>
      <c r="I459" s="15" t="s">
        <v>1148</v>
      </c>
      <c r="J459" s="15" t="s">
        <v>1148</v>
      </c>
      <c r="K459" s="56">
        <f>SUM(K460:K464)</f>
        <v>0</v>
      </c>
      <c r="L459" s="56">
        <f>SUM(L460:L464)</f>
        <v>0</v>
      </c>
      <c r="M459" s="56">
        <f>SUM(M460:M464)</f>
        <v>0</v>
      </c>
      <c r="N459" s="21" t="s">
        <v>862</v>
      </c>
      <c r="O459" s="47" t="s">
        <v>862</v>
      </c>
      <c r="AI459" s="21" t="s">
        <v>336</v>
      </c>
      <c r="AS459" s="56">
        <f>SUM(AJ460:AJ464)</f>
        <v>0</v>
      </c>
      <c r="AT459" s="56">
        <f>SUM(AK460:AK464)</f>
        <v>0</v>
      </c>
      <c r="AU459" s="56">
        <f>SUM(AL460:AL464)</f>
        <v>0</v>
      </c>
    </row>
    <row r="460" spans="1:64" ht="15" customHeight="1">
      <c r="A460" s="11" t="s">
        <v>265</v>
      </c>
      <c r="B460" s="48" t="s">
        <v>336</v>
      </c>
      <c r="C460" s="48" t="s">
        <v>225</v>
      </c>
      <c r="D460" s="61" t="s">
        <v>1313</v>
      </c>
      <c r="E460" s="61"/>
      <c r="F460" s="61"/>
      <c r="G460" s="61"/>
      <c r="H460" s="48" t="s">
        <v>1018</v>
      </c>
      <c r="I460" s="13">
        <v>314.16</v>
      </c>
      <c r="J460" s="13">
        <v>0</v>
      </c>
      <c r="K460" s="13">
        <f>I460*AO460</f>
        <v>0</v>
      </c>
      <c r="L460" s="13">
        <f>I460*AP460</f>
        <v>0</v>
      </c>
      <c r="M460" s="13">
        <f>I460*J460</f>
        <v>0</v>
      </c>
      <c r="N460" s="13">
        <v>0</v>
      </c>
      <c r="O460" s="10" t="s">
        <v>851</v>
      </c>
      <c r="Z460" s="13">
        <f>IF(AQ460="5",BJ460,0)</f>
        <v>0</v>
      </c>
      <c r="AB460" s="13">
        <f>IF(AQ460="1",BH460,0)</f>
        <v>0</v>
      </c>
      <c r="AC460" s="13">
        <f>IF(AQ460="1",BI460,0)</f>
        <v>0</v>
      </c>
      <c r="AD460" s="13">
        <f>IF(AQ460="7",BH460,0)</f>
        <v>0</v>
      </c>
      <c r="AE460" s="13">
        <f>IF(AQ460="7",BI460,0)</f>
        <v>0</v>
      </c>
      <c r="AF460" s="13">
        <f>IF(AQ460="2",BH460,0)</f>
        <v>0</v>
      </c>
      <c r="AG460" s="13">
        <f>IF(AQ460="2",BI460,0)</f>
        <v>0</v>
      </c>
      <c r="AH460" s="13">
        <f>IF(AQ460="0",BJ460,0)</f>
        <v>0</v>
      </c>
      <c r="AI460" s="21" t="s">
        <v>336</v>
      </c>
      <c r="AJ460" s="13">
        <f>IF(AN460=0,M460,0)</f>
        <v>0</v>
      </c>
      <c r="AK460" s="13">
        <f>IF(AN460=15,M460,0)</f>
        <v>0</v>
      </c>
      <c r="AL460" s="13">
        <f>IF(AN460=21,M460,0)</f>
        <v>0</v>
      </c>
      <c r="AN460" s="13">
        <v>21</v>
      </c>
      <c r="AO460" s="13">
        <f>J460*0.322424242424242</f>
        <v>0</v>
      </c>
      <c r="AP460" s="13">
        <f>J460*(1-0.322424242424242)</f>
        <v>0</v>
      </c>
      <c r="AQ460" s="32" t="s">
        <v>1231</v>
      </c>
      <c r="AV460" s="13">
        <f>AW460+AX460</f>
        <v>0</v>
      </c>
      <c r="AW460" s="13">
        <f>I460*AO460</f>
        <v>0</v>
      </c>
      <c r="AX460" s="13">
        <f>I460*AP460</f>
        <v>0</v>
      </c>
      <c r="AY460" s="32" t="s">
        <v>98</v>
      </c>
      <c r="AZ460" s="32" t="s">
        <v>679</v>
      </c>
      <c r="BA460" s="21" t="s">
        <v>305</v>
      </c>
      <c r="BC460" s="13">
        <f>AW460+AX460</f>
        <v>0</v>
      </c>
      <c r="BD460" s="13">
        <f>J460/(100-BE460)*100</f>
        <v>0</v>
      </c>
      <c r="BE460" s="13">
        <v>0</v>
      </c>
      <c r="BF460" s="13">
        <f>460</f>
        <v>460</v>
      </c>
      <c r="BH460" s="13">
        <f>I460*AO460</f>
        <v>0</v>
      </c>
      <c r="BI460" s="13">
        <f>I460*AP460</f>
        <v>0</v>
      </c>
      <c r="BJ460" s="13">
        <f>I460*J460</f>
        <v>0</v>
      </c>
      <c r="BK460" s="13"/>
      <c r="BL460" s="13">
        <v>89</v>
      </c>
    </row>
    <row r="461" spans="1:64" ht="15" customHeight="1">
      <c r="A461" s="11" t="s">
        <v>1244</v>
      </c>
      <c r="B461" s="48" t="s">
        <v>336</v>
      </c>
      <c r="C461" s="48" t="s">
        <v>6</v>
      </c>
      <c r="D461" s="61" t="s">
        <v>1359</v>
      </c>
      <c r="E461" s="61"/>
      <c r="F461" s="61"/>
      <c r="G461" s="61"/>
      <c r="H461" s="48" t="s">
        <v>1018</v>
      </c>
      <c r="I461" s="13">
        <v>309.75</v>
      </c>
      <c r="J461" s="13">
        <v>0</v>
      </c>
      <c r="K461" s="13">
        <f>I461*AO461</f>
        <v>0</v>
      </c>
      <c r="L461" s="13">
        <f>I461*AP461</f>
        <v>0</v>
      </c>
      <c r="M461" s="13">
        <f>I461*J461</f>
        <v>0</v>
      </c>
      <c r="N461" s="13">
        <v>8E-05</v>
      </c>
      <c r="O461" s="10" t="s">
        <v>851</v>
      </c>
      <c r="Z461" s="13">
        <f>IF(AQ461="5",BJ461,0)</f>
        <v>0</v>
      </c>
      <c r="AB461" s="13">
        <f>IF(AQ461="1",BH461,0)</f>
        <v>0</v>
      </c>
      <c r="AC461" s="13">
        <f>IF(AQ461="1",BI461,0)</f>
        <v>0</v>
      </c>
      <c r="AD461" s="13">
        <f>IF(AQ461="7",BH461,0)</f>
        <v>0</v>
      </c>
      <c r="AE461" s="13">
        <f>IF(AQ461="7",BI461,0)</f>
        <v>0</v>
      </c>
      <c r="AF461" s="13">
        <f>IF(AQ461="2",BH461,0)</f>
        <v>0</v>
      </c>
      <c r="AG461" s="13">
        <f>IF(AQ461="2",BI461,0)</f>
        <v>0</v>
      </c>
      <c r="AH461" s="13">
        <f>IF(AQ461="0",BJ461,0)</f>
        <v>0</v>
      </c>
      <c r="AI461" s="21" t="s">
        <v>336</v>
      </c>
      <c r="AJ461" s="13">
        <f>IF(AN461=0,M461,0)</f>
        <v>0</v>
      </c>
      <c r="AK461" s="13">
        <f>IF(AN461=15,M461,0)</f>
        <v>0</v>
      </c>
      <c r="AL461" s="13">
        <f>IF(AN461=21,M461,0)</f>
        <v>0</v>
      </c>
      <c r="AN461" s="13">
        <v>21</v>
      </c>
      <c r="AO461" s="13">
        <f>J461*0.591899441340782</f>
        <v>0</v>
      </c>
      <c r="AP461" s="13">
        <f>J461*(1-0.591899441340782)</f>
        <v>0</v>
      </c>
      <c r="AQ461" s="32" t="s">
        <v>1231</v>
      </c>
      <c r="AV461" s="13">
        <f>AW461+AX461</f>
        <v>0</v>
      </c>
      <c r="AW461" s="13">
        <f>I461*AO461</f>
        <v>0</v>
      </c>
      <c r="AX461" s="13">
        <f>I461*AP461</f>
        <v>0</v>
      </c>
      <c r="AY461" s="32" t="s">
        <v>98</v>
      </c>
      <c r="AZ461" s="32" t="s">
        <v>679</v>
      </c>
      <c r="BA461" s="21" t="s">
        <v>305</v>
      </c>
      <c r="BC461" s="13">
        <f>AW461+AX461</f>
        <v>0</v>
      </c>
      <c r="BD461" s="13">
        <f>J461/(100-BE461)*100</f>
        <v>0</v>
      </c>
      <c r="BE461" s="13">
        <v>0</v>
      </c>
      <c r="BF461" s="13">
        <f>461</f>
        <v>461</v>
      </c>
      <c r="BH461" s="13">
        <f>I461*AO461</f>
        <v>0</v>
      </c>
      <c r="BI461" s="13">
        <f>I461*AP461</f>
        <v>0</v>
      </c>
      <c r="BJ461" s="13">
        <f>I461*J461</f>
        <v>0</v>
      </c>
      <c r="BK461" s="13"/>
      <c r="BL461" s="13">
        <v>89</v>
      </c>
    </row>
    <row r="462" spans="1:64" ht="15" customHeight="1">
      <c r="A462" s="11" t="s">
        <v>888</v>
      </c>
      <c r="B462" s="48" t="s">
        <v>336</v>
      </c>
      <c r="C462" s="48" t="s">
        <v>1155</v>
      </c>
      <c r="D462" s="61" t="s">
        <v>237</v>
      </c>
      <c r="E462" s="61"/>
      <c r="F462" s="61"/>
      <c r="G462" s="61"/>
      <c r="H462" s="48" t="s">
        <v>1018</v>
      </c>
      <c r="I462" s="13">
        <v>295.3</v>
      </c>
      <c r="J462" s="13">
        <v>0</v>
      </c>
      <c r="K462" s="13">
        <f>I462*AO462</f>
        <v>0</v>
      </c>
      <c r="L462" s="13">
        <f>I462*AP462</f>
        <v>0</v>
      </c>
      <c r="M462" s="13">
        <f>I462*J462</f>
        <v>0</v>
      </c>
      <c r="N462" s="13">
        <v>0</v>
      </c>
      <c r="O462" s="10" t="s">
        <v>851</v>
      </c>
      <c r="Z462" s="13">
        <f>IF(AQ462="5",BJ462,0)</f>
        <v>0</v>
      </c>
      <c r="AB462" s="13">
        <f>IF(AQ462="1",BH462,0)</f>
        <v>0</v>
      </c>
      <c r="AC462" s="13">
        <f>IF(AQ462="1",BI462,0)</f>
        <v>0</v>
      </c>
      <c r="AD462" s="13">
        <f>IF(AQ462="7",BH462,0)</f>
        <v>0</v>
      </c>
      <c r="AE462" s="13">
        <f>IF(AQ462="7",BI462,0)</f>
        <v>0</v>
      </c>
      <c r="AF462" s="13">
        <f>IF(AQ462="2",BH462,0)</f>
        <v>0</v>
      </c>
      <c r="AG462" s="13">
        <f>IF(AQ462="2",BI462,0)</f>
        <v>0</v>
      </c>
      <c r="AH462" s="13">
        <f>IF(AQ462="0",BJ462,0)</f>
        <v>0</v>
      </c>
      <c r="AI462" s="21" t="s">
        <v>336</v>
      </c>
      <c r="AJ462" s="13">
        <f>IF(AN462=0,M462,0)</f>
        <v>0</v>
      </c>
      <c r="AK462" s="13">
        <f>IF(AN462=15,M462,0)</f>
        <v>0</v>
      </c>
      <c r="AL462" s="13">
        <f>IF(AN462=21,M462,0)</f>
        <v>0</v>
      </c>
      <c r="AN462" s="13">
        <v>21</v>
      </c>
      <c r="AO462" s="13">
        <f>J462*0.0239934833772411</f>
        <v>0</v>
      </c>
      <c r="AP462" s="13">
        <f>J462*(1-0.0239934833772411)</f>
        <v>0</v>
      </c>
      <c r="AQ462" s="32" t="s">
        <v>1231</v>
      </c>
      <c r="AV462" s="13">
        <f>AW462+AX462</f>
        <v>0</v>
      </c>
      <c r="AW462" s="13">
        <f>I462*AO462</f>
        <v>0</v>
      </c>
      <c r="AX462" s="13">
        <f>I462*AP462</f>
        <v>0</v>
      </c>
      <c r="AY462" s="32" t="s">
        <v>98</v>
      </c>
      <c r="AZ462" s="32" t="s">
        <v>679</v>
      </c>
      <c r="BA462" s="21" t="s">
        <v>305</v>
      </c>
      <c r="BC462" s="13">
        <f>AW462+AX462</f>
        <v>0</v>
      </c>
      <c r="BD462" s="13">
        <f>J462/(100-BE462)*100</f>
        <v>0</v>
      </c>
      <c r="BE462" s="13">
        <v>0</v>
      </c>
      <c r="BF462" s="13">
        <f>462</f>
        <v>462</v>
      </c>
      <c r="BH462" s="13">
        <f>I462*AO462</f>
        <v>0</v>
      </c>
      <c r="BI462" s="13">
        <f>I462*AP462</f>
        <v>0</v>
      </c>
      <c r="BJ462" s="13">
        <f>I462*J462</f>
        <v>0</v>
      </c>
      <c r="BK462" s="13"/>
      <c r="BL462" s="13">
        <v>89</v>
      </c>
    </row>
    <row r="463" spans="1:64" ht="15" customHeight="1">
      <c r="A463" s="11" t="s">
        <v>153</v>
      </c>
      <c r="B463" s="48" t="s">
        <v>336</v>
      </c>
      <c r="C463" s="48" t="s">
        <v>887</v>
      </c>
      <c r="D463" s="61" t="s">
        <v>589</v>
      </c>
      <c r="E463" s="61"/>
      <c r="F463" s="61"/>
      <c r="G463" s="61"/>
      <c r="H463" s="48" t="s">
        <v>1018</v>
      </c>
      <c r="I463" s="13">
        <v>295.3</v>
      </c>
      <c r="J463" s="13">
        <v>0</v>
      </c>
      <c r="K463" s="13">
        <f>I463*AO463</f>
        <v>0</v>
      </c>
      <c r="L463" s="13">
        <f>I463*AP463</f>
        <v>0</v>
      </c>
      <c r="M463" s="13">
        <f>I463*J463</f>
        <v>0</v>
      </c>
      <c r="N463" s="13">
        <v>0</v>
      </c>
      <c r="O463" s="10" t="s">
        <v>851</v>
      </c>
      <c r="Z463" s="13">
        <f>IF(AQ463="5",BJ463,0)</f>
        <v>0</v>
      </c>
      <c r="AB463" s="13">
        <f>IF(AQ463="1",BH463,0)</f>
        <v>0</v>
      </c>
      <c r="AC463" s="13">
        <f>IF(AQ463="1",BI463,0)</f>
        <v>0</v>
      </c>
      <c r="AD463" s="13">
        <f>IF(AQ463="7",BH463,0)</f>
        <v>0</v>
      </c>
      <c r="AE463" s="13">
        <f>IF(AQ463="7",BI463,0)</f>
        <v>0</v>
      </c>
      <c r="AF463" s="13">
        <f>IF(AQ463="2",BH463,0)</f>
        <v>0</v>
      </c>
      <c r="AG463" s="13">
        <f>IF(AQ463="2",BI463,0)</f>
        <v>0</v>
      </c>
      <c r="AH463" s="13">
        <f>IF(AQ463="0",BJ463,0)</f>
        <v>0</v>
      </c>
      <c r="AI463" s="21" t="s">
        <v>336</v>
      </c>
      <c r="AJ463" s="13">
        <f>IF(AN463=0,M463,0)</f>
        <v>0</v>
      </c>
      <c r="AK463" s="13">
        <f>IF(AN463=15,M463,0)</f>
        <v>0</v>
      </c>
      <c r="AL463" s="13">
        <f>IF(AN463=21,M463,0)</f>
        <v>0</v>
      </c>
      <c r="AN463" s="13">
        <v>21</v>
      </c>
      <c r="AO463" s="13">
        <f>J463*0.00565651633812185</f>
        <v>0</v>
      </c>
      <c r="AP463" s="13">
        <f>J463*(1-0.00565651633812185)</f>
        <v>0</v>
      </c>
      <c r="AQ463" s="32" t="s">
        <v>1231</v>
      </c>
      <c r="AV463" s="13">
        <f>AW463+AX463</f>
        <v>0</v>
      </c>
      <c r="AW463" s="13">
        <f>I463*AO463</f>
        <v>0</v>
      </c>
      <c r="AX463" s="13">
        <f>I463*AP463</f>
        <v>0</v>
      </c>
      <c r="AY463" s="32" t="s">
        <v>98</v>
      </c>
      <c r="AZ463" s="32" t="s">
        <v>679</v>
      </c>
      <c r="BA463" s="21" t="s">
        <v>305</v>
      </c>
      <c r="BC463" s="13">
        <f>AW463+AX463</f>
        <v>0</v>
      </c>
      <c r="BD463" s="13">
        <f>J463/(100-BE463)*100</f>
        <v>0</v>
      </c>
      <c r="BE463" s="13">
        <v>0</v>
      </c>
      <c r="BF463" s="13">
        <f>463</f>
        <v>463</v>
      </c>
      <c r="BH463" s="13">
        <f>I463*AO463</f>
        <v>0</v>
      </c>
      <c r="BI463" s="13">
        <f>I463*AP463</f>
        <v>0</v>
      </c>
      <c r="BJ463" s="13">
        <f>I463*J463</f>
        <v>0</v>
      </c>
      <c r="BK463" s="13"/>
      <c r="BL463" s="13">
        <v>89</v>
      </c>
    </row>
    <row r="464" spans="1:64" ht="15" customHeight="1">
      <c r="A464" s="11" t="s">
        <v>707</v>
      </c>
      <c r="B464" s="48" t="s">
        <v>336</v>
      </c>
      <c r="C464" s="48" t="s">
        <v>1070</v>
      </c>
      <c r="D464" s="61" t="s">
        <v>845</v>
      </c>
      <c r="E464" s="61"/>
      <c r="F464" s="61"/>
      <c r="G464" s="61"/>
      <c r="H464" s="48" t="s">
        <v>553</v>
      </c>
      <c r="I464" s="13">
        <v>191.70067</v>
      </c>
      <c r="J464" s="13">
        <v>0</v>
      </c>
      <c r="K464" s="13">
        <f>I464*AO464</f>
        <v>0</v>
      </c>
      <c r="L464" s="13">
        <f>I464*AP464</f>
        <v>0</v>
      </c>
      <c r="M464" s="13">
        <f>I464*J464</f>
        <v>0</v>
      </c>
      <c r="N464" s="13">
        <v>0</v>
      </c>
      <c r="O464" s="10" t="s">
        <v>851</v>
      </c>
      <c r="Z464" s="13">
        <f>IF(AQ464="5",BJ464,0)</f>
        <v>0</v>
      </c>
      <c r="AB464" s="13">
        <f>IF(AQ464="1",BH464,0)</f>
        <v>0</v>
      </c>
      <c r="AC464" s="13">
        <f>IF(AQ464="1",BI464,0)</f>
        <v>0</v>
      </c>
      <c r="AD464" s="13">
        <f>IF(AQ464="7",BH464,0)</f>
        <v>0</v>
      </c>
      <c r="AE464" s="13">
        <f>IF(AQ464="7",BI464,0)</f>
        <v>0</v>
      </c>
      <c r="AF464" s="13">
        <f>IF(AQ464="2",BH464,0)</f>
        <v>0</v>
      </c>
      <c r="AG464" s="13">
        <f>IF(AQ464="2",BI464,0)</f>
        <v>0</v>
      </c>
      <c r="AH464" s="13">
        <f>IF(AQ464="0",BJ464,0)</f>
        <v>0</v>
      </c>
      <c r="AI464" s="21" t="s">
        <v>336</v>
      </c>
      <c r="AJ464" s="13">
        <f>IF(AN464=0,M464,0)</f>
        <v>0</v>
      </c>
      <c r="AK464" s="13">
        <f>IF(AN464=15,M464,0)</f>
        <v>0</v>
      </c>
      <c r="AL464" s="13">
        <f>IF(AN464=21,M464,0)</f>
        <v>0</v>
      </c>
      <c r="AN464" s="13">
        <v>21</v>
      </c>
      <c r="AO464" s="13">
        <f>J464*0</f>
        <v>0</v>
      </c>
      <c r="AP464" s="13">
        <f>J464*(1-0)</f>
        <v>0</v>
      </c>
      <c r="AQ464" s="32" t="s">
        <v>654</v>
      </c>
      <c r="AV464" s="13">
        <f>AW464+AX464</f>
        <v>0</v>
      </c>
      <c r="AW464" s="13">
        <f>I464*AO464</f>
        <v>0</v>
      </c>
      <c r="AX464" s="13">
        <f>I464*AP464</f>
        <v>0</v>
      </c>
      <c r="AY464" s="32" t="s">
        <v>98</v>
      </c>
      <c r="AZ464" s="32" t="s">
        <v>679</v>
      </c>
      <c r="BA464" s="21" t="s">
        <v>305</v>
      </c>
      <c r="BC464" s="13">
        <f>AW464+AX464</f>
        <v>0</v>
      </c>
      <c r="BD464" s="13">
        <f>J464/(100-BE464)*100</f>
        <v>0</v>
      </c>
      <c r="BE464" s="13">
        <v>0</v>
      </c>
      <c r="BF464" s="13">
        <f>464</f>
        <v>464</v>
      </c>
      <c r="BH464" s="13">
        <f>I464*AO464</f>
        <v>0</v>
      </c>
      <c r="BI464" s="13">
        <f>I464*AP464</f>
        <v>0</v>
      </c>
      <c r="BJ464" s="13">
        <f>I464*J464</f>
        <v>0</v>
      </c>
      <c r="BK464" s="13"/>
      <c r="BL464" s="13">
        <v>89</v>
      </c>
    </row>
    <row r="465" spans="1:15" ht="15" customHeight="1">
      <c r="A465" s="30" t="s">
        <v>862</v>
      </c>
      <c r="B465" s="18" t="s">
        <v>629</v>
      </c>
      <c r="C465" s="18" t="s">
        <v>862</v>
      </c>
      <c r="D465" s="73" t="s">
        <v>1284</v>
      </c>
      <c r="E465" s="73"/>
      <c r="F465" s="73"/>
      <c r="G465" s="73"/>
      <c r="H465" s="15" t="s">
        <v>1148</v>
      </c>
      <c r="I465" s="15" t="s">
        <v>1148</v>
      </c>
      <c r="J465" s="15" t="s">
        <v>1148</v>
      </c>
      <c r="K465" s="56">
        <f>K466+K468+K470+K506+K509+K511+K514+K516+K519</f>
        <v>0</v>
      </c>
      <c r="L465" s="56">
        <f>L466+L468+L470+L506+L509+L511+L514+L516+L519</f>
        <v>0</v>
      </c>
      <c r="M465" s="56">
        <f>M466+M468+M470+M506+M509+M511+M514+M516+M519</f>
        <v>0</v>
      </c>
      <c r="N465" s="21" t="s">
        <v>862</v>
      </c>
      <c r="O465" s="47" t="s">
        <v>862</v>
      </c>
    </row>
    <row r="466" spans="1:47" ht="15" customHeight="1">
      <c r="A466" s="30" t="s">
        <v>862</v>
      </c>
      <c r="B466" s="18" t="s">
        <v>629</v>
      </c>
      <c r="C466" s="18" t="s">
        <v>1031</v>
      </c>
      <c r="D466" s="73" t="s">
        <v>675</v>
      </c>
      <c r="E466" s="73"/>
      <c r="F466" s="73"/>
      <c r="G466" s="73"/>
      <c r="H466" s="15" t="s">
        <v>1148</v>
      </c>
      <c r="I466" s="15" t="s">
        <v>1148</v>
      </c>
      <c r="J466" s="15" t="s">
        <v>1148</v>
      </c>
      <c r="K466" s="56">
        <f>SUM(K467:K467)</f>
        <v>0</v>
      </c>
      <c r="L466" s="56">
        <f>SUM(L467:L467)</f>
        <v>0</v>
      </c>
      <c r="M466" s="56">
        <f>SUM(M467:M467)</f>
        <v>0</v>
      </c>
      <c r="N466" s="21" t="s">
        <v>862</v>
      </c>
      <c r="O466" s="47" t="s">
        <v>862</v>
      </c>
      <c r="AI466" s="21" t="s">
        <v>629</v>
      </c>
      <c r="AS466" s="56">
        <f>SUM(AJ467:AJ467)</f>
        <v>0</v>
      </c>
      <c r="AT466" s="56">
        <f>SUM(AK467:AK467)</f>
        <v>0</v>
      </c>
      <c r="AU466" s="56">
        <f>SUM(AL467:AL467)</f>
        <v>0</v>
      </c>
    </row>
    <row r="467" spans="1:64" ht="15" customHeight="1">
      <c r="A467" s="11" t="s">
        <v>1312</v>
      </c>
      <c r="B467" s="48" t="s">
        <v>629</v>
      </c>
      <c r="C467" s="48" t="s">
        <v>1265</v>
      </c>
      <c r="D467" s="61" t="s">
        <v>1041</v>
      </c>
      <c r="E467" s="61"/>
      <c r="F467" s="61"/>
      <c r="G467" s="61"/>
      <c r="H467" s="48" t="s">
        <v>1216</v>
      </c>
      <c r="I467" s="13">
        <v>50</v>
      </c>
      <c r="J467" s="13">
        <v>0</v>
      </c>
      <c r="K467" s="13">
        <f>I467*AO467</f>
        <v>0</v>
      </c>
      <c r="L467" s="13">
        <f>I467*AP467</f>
        <v>0</v>
      </c>
      <c r="M467" s="13">
        <f>I467*J467</f>
        <v>0</v>
      </c>
      <c r="N467" s="13">
        <v>0</v>
      </c>
      <c r="O467" s="10" t="s">
        <v>851</v>
      </c>
      <c r="Z467" s="13">
        <f>IF(AQ467="5",BJ467,0)</f>
        <v>0</v>
      </c>
      <c r="AB467" s="13">
        <f>IF(AQ467="1",BH467,0)</f>
        <v>0</v>
      </c>
      <c r="AC467" s="13">
        <f>IF(AQ467="1",BI467,0)</f>
        <v>0</v>
      </c>
      <c r="AD467" s="13">
        <f>IF(AQ467="7",BH467,0)</f>
        <v>0</v>
      </c>
      <c r="AE467" s="13">
        <f>IF(AQ467="7",BI467,0)</f>
        <v>0</v>
      </c>
      <c r="AF467" s="13">
        <f>IF(AQ467="2",BH467,0)</f>
        <v>0</v>
      </c>
      <c r="AG467" s="13">
        <f>IF(AQ467="2",BI467,0)</f>
        <v>0</v>
      </c>
      <c r="AH467" s="13">
        <f>IF(AQ467="0",BJ467,0)</f>
        <v>0</v>
      </c>
      <c r="AI467" s="21" t="s">
        <v>629</v>
      </c>
      <c r="AJ467" s="13">
        <f>IF(AN467=0,M467,0)</f>
        <v>0</v>
      </c>
      <c r="AK467" s="13">
        <f>IF(AN467=15,M467,0)</f>
        <v>0</v>
      </c>
      <c r="AL467" s="13">
        <f>IF(AN467=21,M467,0)</f>
        <v>0</v>
      </c>
      <c r="AN467" s="13">
        <v>21</v>
      </c>
      <c r="AO467" s="13">
        <f>J467*0</f>
        <v>0</v>
      </c>
      <c r="AP467" s="13">
        <f>J467*(1-0)</f>
        <v>0</v>
      </c>
      <c r="AQ467" s="32" t="s">
        <v>1231</v>
      </c>
      <c r="AV467" s="13">
        <f>AW467+AX467</f>
        <v>0</v>
      </c>
      <c r="AW467" s="13">
        <f>I467*AO467</f>
        <v>0</v>
      </c>
      <c r="AX467" s="13">
        <f>I467*AP467</f>
        <v>0</v>
      </c>
      <c r="AY467" s="32" t="s">
        <v>133</v>
      </c>
      <c r="AZ467" s="32" t="s">
        <v>1386</v>
      </c>
      <c r="BA467" s="21" t="s">
        <v>436</v>
      </c>
      <c r="BC467" s="13">
        <f>AW467+AX467</f>
        <v>0</v>
      </c>
      <c r="BD467" s="13">
        <f>J467/(100-BE467)*100</f>
        <v>0</v>
      </c>
      <c r="BE467" s="13">
        <v>0</v>
      </c>
      <c r="BF467" s="13">
        <f>467</f>
        <v>467</v>
      </c>
      <c r="BH467" s="13">
        <f>I467*AO467</f>
        <v>0</v>
      </c>
      <c r="BI467" s="13">
        <f>I467*AP467</f>
        <v>0</v>
      </c>
      <c r="BJ467" s="13">
        <f>I467*J467</f>
        <v>0</v>
      </c>
      <c r="BK467" s="13"/>
      <c r="BL467" s="13">
        <v>11</v>
      </c>
    </row>
    <row r="468" spans="1:47" ht="15" customHeight="1">
      <c r="A468" s="30" t="s">
        <v>862</v>
      </c>
      <c r="B468" s="18" t="s">
        <v>629</v>
      </c>
      <c r="C468" s="18" t="s">
        <v>356</v>
      </c>
      <c r="D468" s="73" t="s">
        <v>11</v>
      </c>
      <c r="E468" s="73"/>
      <c r="F468" s="73"/>
      <c r="G468" s="73"/>
      <c r="H468" s="15" t="s">
        <v>1148</v>
      </c>
      <c r="I468" s="15" t="s">
        <v>1148</v>
      </c>
      <c r="J468" s="15" t="s">
        <v>1148</v>
      </c>
      <c r="K468" s="56">
        <f>SUM(K469:K469)</f>
        <v>0</v>
      </c>
      <c r="L468" s="56">
        <f>SUM(L469:L469)</f>
        <v>0</v>
      </c>
      <c r="M468" s="56">
        <f>SUM(M469:M469)</f>
        <v>0</v>
      </c>
      <c r="N468" s="21" t="s">
        <v>862</v>
      </c>
      <c r="O468" s="47" t="s">
        <v>862</v>
      </c>
      <c r="AI468" s="21" t="s">
        <v>629</v>
      </c>
      <c r="AS468" s="56">
        <f>SUM(AJ469:AJ469)</f>
        <v>0</v>
      </c>
      <c r="AT468" s="56">
        <f>SUM(AK469:AK469)</f>
        <v>0</v>
      </c>
      <c r="AU468" s="56">
        <f>SUM(AL469:AL469)</f>
        <v>0</v>
      </c>
    </row>
    <row r="469" spans="1:64" ht="15" customHeight="1">
      <c r="A469" s="11" t="s">
        <v>555</v>
      </c>
      <c r="B469" s="48" t="s">
        <v>629</v>
      </c>
      <c r="C469" s="48" t="s">
        <v>287</v>
      </c>
      <c r="D469" s="61" t="s">
        <v>125</v>
      </c>
      <c r="E469" s="61"/>
      <c r="F469" s="61"/>
      <c r="G469" s="61"/>
      <c r="H469" s="48" t="s">
        <v>1195</v>
      </c>
      <c r="I469" s="13">
        <v>8.2</v>
      </c>
      <c r="J469" s="13">
        <v>0</v>
      </c>
      <c r="K469" s="13">
        <f>I469*AO469</f>
        <v>0</v>
      </c>
      <c r="L469" s="13">
        <f>I469*AP469</f>
        <v>0</v>
      </c>
      <c r="M469" s="13">
        <f>I469*J469</f>
        <v>0</v>
      </c>
      <c r="N469" s="13">
        <v>0</v>
      </c>
      <c r="O469" s="10" t="s">
        <v>851</v>
      </c>
      <c r="Z469" s="13">
        <f>IF(AQ469="5",BJ469,0)</f>
        <v>0</v>
      </c>
      <c r="AB469" s="13">
        <f>IF(AQ469="1",BH469,0)</f>
        <v>0</v>
      </c>
      <c r="AC469" s="13">
        <f>IF(AQ469="1",BI469,0)</f>
        <v>0</v>
      </c>
      <c r="AD469" s="13">
        <f>IF(AQ469="7",BH469,0)</f>
        <v>0</v>
      </c>
      <c r="AE469" s="13">
        <f>IF(AQ469="7",BI469,0)</f>
        <v>0</v>
      </c>
      <c r="AF469" s="13">
        <f>IF(AQ469="2",BH469,0)</f>
        <v>0</v>
      </c>
      <c r="AG469" s="13">
        <f>IF(AQ469="2",BI469,0)</f>
        <v>0</v>
      </c>
      <c r="AH469" s="13">
        <f>IF(AQ469="0",BJ469,0)</f>
        <v>0</v>
      </c>
      <c r="AI469" s="21" t="s">
        <v>629</v>
      </c>
      <c r="AJ469" s="13">
        <f>IF(AN469=0,M469,0)</f>
        <v>0</v>
      </c>
      <c r="AK469" s="13">
        <f>IF(AN469=15,M469,0)</f>
        <v>0</v>
      </c>
      <c r="AL469" s="13">
        <f>IF(AN469=21,M469,0)</f>
        <v>0</v>
      </c>
      <c r="AN469" s="13">
        <v>21</v>
      </c>
      <c r="AO469" s="13">
        <f>J469*0</f>
        <v>0</v>
      </c>
      <c r="AP469" s="13">
        <f>J469*(1-0)</f>
        <v>0</v>
      </c>
      <c r="AQ469" s="32" t="s">
        <v>1231</v>
      </c>
      <c r="AV469" s="13">
        <f>AW469+AX469</f>
        <v>0</v>
      </c>
      <c r="AW469" s="13">
        <f>I469*AO469</f>
        <v>0</v>
      </c>
      <c r="AX469" s="13">
        <f>I469*AP469</f>
        <v>0</v>
      </c>
      <c r="AY469" s="32" t="s">
        <v>1116</v>
      </c>
      <c r="AZ469" s="32" t="s">
        <v>1386</v>
      </c>
      <c r="BA469" s="21" t="s">
        <v>436</v>
      </c>
      <c r="BC469" s="13">
        <f>AW469+AX469</f>
        <v>0</v>
      </c>
      <c r="BD469" s="13">
        <f>J469/(100-BE469)*100</f>
        <v>0</v>
      </c>
      <c r="BE469" s="13">
        <v>0</v>
      </c>
      <c r="BF469" s="13">
        <f>469</f>
        <v>469</v>
      </c>
      <c r="BH469" s="13">
        <f>I469*AO469</f>
        <v>0</v>
      </c>
      <c r="BI469" s="13">
        <f>I469*AP469</f>
        <v>0</v>
      </c>
      <c r="BJ469" s="13">
        <f>I469*J469</f>
        <v>0</v>
      </c>
      <c r="BK469" s="13"/>
      <c r="BL469" s="13">
        <v>13</v>
      </c>
    </row>
    <row r="470" spans="1:47" ht="15" customHeight="1">
      <c r="A470" s="30" t="s">
        <v>862</v>
      </c>
      <c r="B470" s="18" t="s">
        <v>629</v>
      </c>
      <c r="C470" s="18" t="s">
        <v>993</v>
      </c>
      <c r="D470" s="73" t="s">
        <v>1249</v>
      </c>
      <c r="E470" s="73"/>
      <c r="F470" s="73"/>
      <c r="G470" s="73"/>
      <c r="H470" s="15" t="s">
        <v>1148</v>
      </c>
      <c r="I470" s="15" t="s">
        <v>1148</v>
      </c>
      <c r="J470" s="15" t="s">
        <v>1148</v>
      </c>
      <c r="K470" s="56">
        <f>SUM(K471:K504)</f>
        <v>0</v>
      </c>
      <c r="L470" s="56">
        <f>SUM(L471:L504)</f>
        <v>0</v>
      </c>
      <c r="M470" s="56">
        <f>SUM(M471:M504)</f>
        <v>0</v>
      </c>
      <c r="N470" s="21" t="s">
        <v>862</v>
      </c>
      <c r="O470" s="47" t="s">
        <v>862</v>
      </c>
      <c r="AI470" s="21" t="s">
        <v>629</v>
      </c>
      <c r="AS470" s="56">
        <f>SUM(AJ471:AJ504)</f>
        <v>0</v>
      </c>
      <c r="AT470" s="56">
        <f>SUM(AK471:AK504)</f>
        <v>0</v>
      </c>
      <c r="AU470" s="56">
        <f>SUM(AL471:AL504)</f>
        <v>0</v>
      </c>
    </row>
    <row r="471" spans="1:64" ht="15" customHeight="1">
      <c r="A471" s="11" t="s">
        <v>441</v>
      </c>
      <c r="B471" s="48" t="s">
        <v>629</v>
      </c>
      <c r="C471" s="48" t="s">
        <v>292</v>
      </c>
      <c r="D471" s="61" t="s">
        <v>1328</v>
      </c>
      <c r="E471" s="61"/>
      <c r="F471" s="61"/>
      <c r="G471" s="61"/>
      <c r="H471" s="48" t="s">
        <v>1216</v>
      </c>
      <c r="I471" s="13">
        <v>205</v>
      </c>
      <c r="J471" s="13">
        <v>0</v>
      </c>
      <c r="K471" s="13">
        <f aca="true" t="shared" si="342" ref="K471:K478">I471*AO471</f>
        <v>0</v>
      </c>
      <c r="L471" s="13">
        <f aca="true" t="shared" si="343" ref="L471:L478">I471*AP471</f>
        <v>0</v>
      </c>
      <c r="M471" s="13">
        <f aca="true" t="shared" si="344" ref="M471:M478">I471*J471</f>
        <v>0</v>
      </c>
      <c r="N471" s="13">
        <v>0</v>
      </c>
      <c r="O471" s="10" t="s">
        <v>851</v>
      </c>
      <c r="Z471" s="13">
        <f aca="true" t="shared" si="345" ref="Z471:Z478">IF(AQ471="5",BJ471,0)</f>
        <v>0</v>
      </c>
      <c r="AB471" s="13">
        <f aca="true" t="shared" si="346" ref="AB471:AB478">IF(AQ471="1",BH471,0)</f>
        <v>0</v>
      </c>
      <c r="AC471" s="13">
        <f aca="true" t="shared" si="347" ref="AC471:AC478">IF(AQ471="1",BI471,0)</f>
        <v>0</v>
      </c>
      <c r="AD471" s="13">
        <f aca="true" t="shared" si="348" ref="AD471:AD478">IF(AQ471="7",BH471,0)</f>
        <v>0</v>
      </c>
      <c r="AE471" s="13">
        <f aca="true" t="shared" si="349" ref="AE471:AE478">IF(AQ471="7",BI471,0)</f>
        <v>0</v>
      </c>
      <c r="AF471" s="13">
        <f aca="true" t="shared" si="350" ref="AF471:AF478">IF(AQ471="2",BH471,0)</f>
        <v>0</v>
      </c>
      <c r="AG471" s="13">
        <f aca="true" t="shared" si="351" ref="AG471:AG478">IF(AQ471="2",BI471,0)</f>
        <v>0</v>
      </c>
      <c r="AH471" s="13">
        <f aca="true" t="shared" si="352" ref="AH471:AH478">IF(AQ471="0",BJ471,0)</f>
        <v>0</v>
      </c>
      <c r="AI471" s="21" t="s">
        <v>629</v>
      </c>
      <c r="AJ471" s="13">
        <f aca="true" t="shared" si="353" ref="AJ471:AJ478">IF(AN471=0,M471,0)</f>
        <v>0</v>
      </c>
      <c r="AK471" s="13">
        <f aca="true" t="shared" si="354" ref="AK471:AK478">IF(AN471=15,M471,0)</f>
        <v>0</v>
      </c>
      <c r="AL471" s="13">
        <f aca="true" t="shared" si="355" ref="AL471:AL478">IF(AN471=21,M471,0)</f>
        <v>0</v>
      </c>
      <c r="AN471" s="13">
        <v>21</v>
      </c>
      <c r="AO471" s="13">
        <f>J471*0</f>
        <v>0</v>
      </c>
      <c r="AP471" s="13">
        <f>J471*(1-0)</f>
        <v>0</v>
      </c>
      <c r="AQ471" s="32" t="s">
        <v>1231</v>
      </c>
      <c r="AV471" s="13">
        <f aca="true" t="shared" si="356" ref="AV471:AV478">AW471+AX471</f>
        <v>0</v>
      </c>
      <c r="AW471" s="13">
        <f aca="true" t="shared" si="357" ref="AW471:AW478">I471*AO471</f>
        <v>0</v>
      </c>
      <c r="AX471" s="13">
        <f aca="true" t="shared" si="358" ref="AX471:AX478">I471*AP471</f>
        <v>0</v>
      </c>
      <c r="AY471" s="32" t="s">
        <v>603</v>
      </c>
      <c r="AZ471" s="32" t="s">
        <v>1386</v>
      </c>
      <c r="BA471" s="21" t="s">
        <v>436</v>
      </c>
      <c r="BC471" s="13">
        <f aca="true" t="shared" si="359" ref="BC471:BC478">AW471+AX471</f>
        <v>0</v>
      </c>
      <c r="BD471" s="13">
        <f aca="true" t="shared" si="360" ref="BD471:BD478">J471/(100-BE471)*100</f>
        <v>0</v>
      </c>
      <c r="BE471" s="13">
        <v>0</v>
      </c>
      <c r="BF471" s="13">
        <f>471</f>
        <v>471</v>
      </c>
      <c r="BH471" s="13">
        <f aca="true" t="shared" si="361" ref="BH471:BH478">I471*AO471</f>
        <v>0</v>
      </c>
      <c r="BI471" s="13">
        <f aca="true" t="shared" si="362" ref="BI471:BI478">I471*AP471</f>
        <v>0</v>
      </c>
      <c r="BJ471" s="13">
        <f aca="true" t="shared" si="363" ref="BJ471:BJ478">I471*J471</f>
        <v>0</v>
      </c>
      <c r="BK471" s="13"/>
      <c r="BL471" s="13">
        <v>18</v>
      </c>
    </row>
    <row r="472" spans="1:64" ht="15" customHeight="1">
      <c r="A472" s="11" t="s">
        <v>117</v>
      </c>
      <c r="B472" s="48" t="s">
        <v>629</v>
      </c>
      <c r="C472" s="48" t="s">
        <v>97</v>
      </c>
      <c r="D472" s="61" t="s">
        <v>1234</v>
      </c>
      <c r="E472" s="61"/>
      <c r="F472" s="61"/>
      <c r="G472" s="61"/>
      <c r="H472" s="48" t="s">
        <v>1195</v>
      </c>
      <c r="I472" s="13">
        <v>26.91</v>
      </c>
      <c r="J472" s="13">
        <v>0</v>
      </c>
      <c r="K472" s="13">
        <f t="shared" si="342"/>
        <v>0</v>
      </c>
      <c r="L472" s="13">
        <f t="shared" si="343"/>
        <v>0</v>
      </c>
      <c r="M472" s="13">
        <f t="shared" si="344"/>
        <v>0</v>
      </c>
      <c r="N472" s="13">
        <v>0.6</v>
      </c>
      <c r="O472" s="10" t="s">
        <v>851</v>
      </c>
      <c r="Z472" s="13">
        <f t="shared" si="345"/>
        <v>0</v>
      </c>
      <c r="AB472" s="13">
        <f t="shared" si="346"/>
        <v>0</v>
      </c>
      <c r="AC472" s="13">
        <f t="shared" si="347"/>
        <v>0</v>
      </c>
      <c r="AD472" s="13">
        <f t="shared" si="348"/>
        <v>0</v>
      </c>
      <c r="AE472" s="13">
        <f t="shared" si="349"/>
        <v>0</v>
      </c>
      <c r="AF472" s="13">
        <f t="shared" si="350"/>
        <v>0</v>
      </c>
      <c r="AG472" s="13">
        <f t="shared" si="351"/>
        <v>0</v>
      </c>
      <c r="AH472" s="13">
        <f t="shared" si="352"/>
        <v>0</v>
      </c>
      <c r="AI472" s="21" t="s">
        <v>629</v>
      </c>
      <c r="AJ472" s="13">
        <f t="shared" si="353"/>
        <v>0</v>
      </c>
      <c r="AK472" s="13">
        <f t="shared" si="354"/>
        <v>0</v>
      </c>
      <c r="AL472" s="13">
        <f t="shared" si="355"/>
        <v>0</v>
      </c>
      <c r="AN472" s="13">
        <v>21</v>
      </c>
      <c r="AO472" s="13">
        <f>J472*1</f>
        <v>0</v>
      </c>
      <c r="AP472" s="13">
        <f>J472*(1-1)</f>
        <v>0</v>
      </c>
      <c r="AQ472" s="32" t="s">
        <v>1231</v>
      </c>
      <c r="AV472" s="13">
        <f t="shared" si="356"/>
        <v>0</v>
      </c>
      <c r="AW472" s="13">
        <f t="shared" si="357"/>
        <v>0</v>
      </c>
      <c r="AX472" s="13">
        <f t="shared" si="358"/>
        <v>0</v>
      </c>
      <c r="AY472" s="32" t="s">
        <v>603</v>
      </c>
      <c r="AZ472" s="32" t="s">
        <v>1386</v>
      </c>
      <c r="BA472" s="21" t="s">
        <v>436</v>
      </c>
      <c r="BC472" s="13">
        <f t="shared" si="359"/>
        <v>0</v>
      </c>
      <c r="BD472" s="13">
        <f t="shared" si="360"/>
        <v>0</v>
      </c>
      <c r="BE472" s="13">
        <v>0</v>
      </c>
      <c r="BF472" s="13">
        <f>472</f>
        <v>472</v>
      </c>
      <c r="BH472" s="13">
        <f t="shared" si="361"/>
        <v>0</v>
      </c>
      <c r="BI472" s="13">
        <f t="shared" si="362"/>
        <v>0</v>
      </c>
      <c r="BJ472" s="13">
        <f t="shared" si="363"/>
        <v>0</v>
      </c>
      <c r="BK472" s="13"/>
      <c r="BL472" s="13">
        <v>18</v>
      </c>
    </row>
    <row r="473" spans="1:64" ht="15" customHeight="1">
      <c r="A473" s="11" t="s">
        <v>362</v>
      </c>
      <c r="B473" s="48" t="s">
        <v>629</v>
      </c>
      <c r="C473" s="48" t="s">
        <v>452</v>
      </c>
      <c r="D473" s="61" t="s">
        <v>633</v>
      </c>
      <c r="E473" s="61"/>
      <c r="F473" s="61"/>
      <c r="G473" s="61"/>
      <c r="H473" s="48" t="s">
        <v>1216</v>
      </c>
      <c r="I473" s="13">
        <v>205</v>
      </c>
      <c r="J473" s="13">
        <v>0</v>
      </c>
      <c r="K473" s="13">
        <f t="shared" si="342"/>
        <v>0</v>
      </c>
      <c r="L473" s="13">
        <f t="shared" si="343"/>
        <v>0</v>
      </c>
      <c r="M473" s="13">
        <f t="shared" si="344"/>
        <v>0</v>
      </c>
      <c r="N473" s="13">
        <v>0</v>
      </c>
      <c r="O473" s="10" t="s">
        <v>851</v>
      </c>
      <c r="Z473" s="13">
        <f t="shared" si="345"/>
        <v>0</v>
      </c>
      <c r="AB473" s="13">
        <f t="shared" si="346"/>
        <v>0</v>
      </c>
      <c r="AC473" s="13">
        <f t="shared" si="347"/>
        <v>0</v>
      </c>
      <c r="AD473" s="13">
        <f t="shared" si="348"/>
        <v>0</v>
      </c>
      <c r="AE473" s="13">
        <f t="shared" si="349"/>
        <v>0</v>
      </c>
      <c r="AF473" s="13">
        <f t="shared" si="350"/>
        <v>0</v>
      </c>
      <c r="AG473" s="13">
        <f t="shared" si="351"/>
        <v>0</v>
      </c>
      <c r="AH473" s="13">
        <f t="shared" si="352"/>
        <v>0</v>
      </c>
      <c r="AI473" s="21" t="s">
        <v>629</v>
      </c>
      <c r="AJ473" s="13">
        <f t="shared" si="353"/>
        <v>0</v>
      </c>
      <c r="AK473" s="13">
        <f t="shared" si="354"/>
        <v>0</v>
      </c>
      <c r="AL473" s="13">
        <f t="shared" si="355"/>
        <v>0</v>
      </c>
      <c r="AN473" s="13">
        <v>21</v>
      </c>
      <c r="AO473" s="13">
        <f>J473*0.0401709401709402</f>
        <v>0</v>
      </c>
      <c r="AP473" s="13">
        <f>J473*(1-0.0401709401709402)</f>
        <v>0</v>
      </c>
      <c r="AQ473" s="32" t="s">
        <v>1231</v>
      </c>
      <c r="AV473" s="13">
        <f t="shared" si="356"/>
        <v>0</v>
      </c>
      <c r="AW473" s="13">
        <f t="shared" si="357"/>
        <v>0</v>
      </c>
      <c r="AX473" s="13">
        <f t="shared" si="358"/>
        <v>0</v>
      </c>
      <c r="AY473" s="32" t="s">
        <v>603</v>
      </c>
      <c r="AZ473" s="32" t="s">
        <v>1386</v>
      </c>
      <c r="BA473" s="21" t="s">
        <v>436</v>
      </c>
      <c r="BC473" s="13">
        <f t="shared" si="359"/>
        <v>0</v>
      </c>
      <c r="BD473" s="13">
        <f t="shared" si="360"/>
        <v>0</v>
      </c>
      <c r="BE473" s="13">
        <v>0</v>
      </c>
      <c r="BF473" s="13">
        <f>473</f>
        <v>473</v>
      </c>
      <c r="BH473" s="13">
        <f t="shared" si="361"/>
        <v>0</v>
      </c>
      <c r="BI473" s="13">
        <f t="shared" si="362"/>
        <v>0</v>
      </c>
      <c r="BJ473" s="13">
        <f t="shared" si="363"/>
        <v>0</v>
      </c>
      <c r="BK473" s="13"/>
      <c r="BL473" s="13">
        <v>18</v>
      </c>
    </row>
    <row r="474" spans="1:64" ht="15" customHeight="1">
      <c r="A474" s="11" t="s">
        <v>534</v>
      </c>
      <c r="B474" s="48" t="s">
        <v>629</v>
      </c>
      <c r="C474" s="48" t="s">
        <v>1346</v>
      </c>
      <c r="D474" s="61" t="s">
        <v>1002</v>
      </c>
      <c r="E474" s="61"/>
      <c r="F474" s="61"/>
      <c r="G474" s="61"/>
      <c r="H474" s="48" t="s">
        <v>1172</v>
      </c>
      <c r="I474" s="13">
        <v>5</v>
      </c>
      <c r="J474" s="13">
        <v>0</v>
      </c>
      <c r="K474" s="13">
        <f t="shared" si="342"/>
        <v>0</v>
      </c>
      <c r="L474" s="13">
        <f t="shared" si="343"/>
        <v>0</v>
      </c>
      <c r="M474" s="13">
        <f t="shared" si="344"/>
        <v>0</v>
      </c>
      <c r="N474" s="13">
        <v>0.001</v>
      </c>
      <c r="O474" s="10" t="s">
        <v>851</v>
      </c>
      <c r="Z474" s="13">
        <f t="shared" si="345"/>
        <v>0</v>
      </c>
      <c r="AB474" s="13">
        <f t="shared" si="346"/>
        <v>0</v>
      </c>
      <c r="AC474" s="13">
        <f t="shared" si="347"/>
        <v>0</v>
      </c>
      <c r="AD474" s="13">
        <f t="shared" si="348"/>
        <v>0</v>
      </c>
      <c r="AE474" s="13">
        <f t="shared" si="349"/>
        <v>0</v>
      </c>
      <c r="AF474" s="13">
        <f t="shared" si="350"/>
        <v>0</v>
      </c>
      <c r="AG474" s="13">
        <f t="shared" si="351"/>
        <v>0</v>
      </c>
      <c r="AH474" s="13">
        <f t="shared" si="352"/>
        <v>0</v>
      </c>
      <c r="AI474" s="21" t="s">
        <v>629</v>
      </c>
      <c r="AJ474" s="13">
        <f t="shared" si="353"/>
        <v>0</v>
      </c>
      <c r="AK474" s="13">
        <f t="shared" si="354"/>
        <v>0</v>
      </c>
      <c r="AL474" s="13">
        <f t="shared" si="355"/>
        <v>0</v>
      </c>
      <c r="AN474" s="13">
        <v>21</v>
      </c>
      <c r="AO474" s="13">
        <f>J474*1</f>
        <v>0</v>
      </c>
      <c r="AP474" s="13">
        <f>J474*(1-1)</f>
        <v>0</v>
      </c>
      <c r="AQ474" s="32" t="s">
        <v>1231</v>
      </c>
      <c r="AV474" s="13">
        <f t="shared" si="356"/>
        <v>0</v>
      </c>
      <c r="AW474" s="13">
        <f t="shared" si="357"/>
        <v>0</v>
      </c>
      <c r="AX474" s="13">
        <f t="shared" si="358"/>
        <v>0</v>
      </c>
      <c r="AY474" s="32" t="s">
        <v>603</v>
      </c>
      <c r="AZ474" s="32" t="s">
        <v>1386</v>
      </c>
      <c r="BA474" s="21" t="s">
        <v>436</v>
      </c>
      <c r="BC474" s="13">
        <f t="shared" si="359"/>
        <v>0</v>
      </c>
      <c r="BD474" s="13">
        <f t="shared" si="360"/>
        <v>0</v>
      </c>
      <c r="BE474" s="13">
        <v>0</v>
      </c>
      <c r="BF474" s="13">
        <f>474</f>
        <v>474</v>
      </c>
      <c r="BH474" s="13">
        <f t="shared" si="361"/>
        <v>0</v>
      </c>
      <c r="BI474" s="13">
        <f t="shared" si="362"/>
        <v>0</v>
      </c>
      <c r="BJ474" s="13">
        <f t="shared" si="363"/>
        <v>0</v>
      </c>
      <c r="BK474" s="13"/>
      <c r="BL474" s="13">
        <v>18</v>
      </c>
    </row>
    <row r="475" spans="1:64" ht="15" customHeight="1">
      <c r="A475" s="11" t="s">
        <v>3</v>
      </c>
      <c r="B475" s="48" t="s">
        <v>629</v>
      </c>
      <c r="C475" s="48" t="s">
        <v>668</v>
      </c>
      <c r="D475" s="61" t="s">
        <v>288</v>
      </c>
      <c r="E475" s="61"/>
      <c r="F475" s="61"/>
      <c r="G475" s="61"/>
      <c r="H475" s="48" t="s">
        <v>299</v>
      </c>
      <c r="I475" s="13">
        <v>10</v>
      </c>
      <c r="J475" s="13">
        <v>0</v>
      </c>
      <c r="K475" s="13">
        <f t="shared" si="342"/>
        <v>0</v>
      </c>
      <c r="L475" s="13">
        <f t="shared" si="343"/>
        <v>0</v>
      </c>
      <c r="M475" s="13">
        <f t="shared" si="344"/>
        <v>0</v>
      </c>
      <c r="N475" s="13">
        <v>0</v>
      </c>
      <c r="O475" s="10" t="s">
        <v>851</v>
      </c>
      <c r="Z475" s="13">
        <f t="shared" si="345"/>
        <v>0</v>
      </c>
      <c r="AB475" s="13">
        <f t="shared" si="346"/>
        <v>0</v>
      </c>
      <c r="AC475" s="13">
        <f t="shared" si="347"/>
        <v>0</v>
      </c>
      <c r="AD475" s="13">
        <f t="shared" si="348"/>
        <v>0</v>
      </c>
      <c r="AE475" s="13">
        <f t="shared" si="349"/>
        <v>0</v>
      </c>
      <c r="AF475" s="13">
        <f t="shared" si="350"/>
        <v>0</v>
      </c>
      <c r="AG475" s="13">
        <f t="shared" si="351"/>
        <v>0</v>
      </c>
      <c r="AH475" s="13">
        <f t="shared" si="352"/>
        <v>0</v>
      </c>
      <c r="AI475" s="21" t="s">
        <v>629</v>
      </c>
      <c r="AJ475" s="13">
        <f t="shared" si="353"/>
        <v>0</v>
      </c>
      <c r="AK475" s="13">
        <f t="shared" si="354"/>
        <v>0</v>
      </c>
      <c r="AL475" s="13">
        <f t="shared" si="355"/>
        <v>0</v>
      </c>
      <c r="AN475" s="13">
        <v>21</v>
      </c>
      <c r="AO475" s="13">
        <f>J475*0</f>
        <v>0</v>
      </c>
      <c r="AP475" s="13">
        <f>J475*(1-0)</f>
        <v>0</v>
      </c>
      <c r="AQ475" s="32" t="s">
        <v>1231</v>
      </c>
      <c r="AV475" s="13">
        <f t="shared" si="356"/>
        <v>0</v>
      </c>
      <c r="AW475" s="13">
        <f t="shared" si="357"/>
        <v>0</v>
      </c>
      <c r="AX475" s="13">
        <f t="shared" si="358"/>
        <v>0</v>
      </c>
      <c r="AY475" s="32" t="s">
        <v>603</v>
      </c>
      <c r="AZ475" s="32" t="s">
        <v>1386</v>
      </c>
      <c r="BA475" s="21" t="s">
        <v>436</v>
      </c>
      <c r="BC475" s="13">
        <f t="shared" si="359"/>
        <v>0</v>
      </c>
      <c r="BD475" s="13">
        <f t="shared" si="360"/>
        <v>0</v>
      </c>
      <c r="BE475" s="13">
        <v>0</v>
      </c>
      <c r="BF475" s="13">
        <f>475</f>
        <v>475</v>
      </c>
      <c r="BH475" s="13">
        <f t="shared" si="361"/>
        <v>0</v>
      </c>
      <c r="BI475" s="13">
        <f t="shared" si="362"/>
        <v>0</v>
      </c>
      <c r="BJ475" s="13">
        <f t="shared" si="363"/>
        <v>0</v>
      </c>
      <c r="BK475" s="13"/>
      <c r="BL475" s="13">
        <v>18</v>
      </c>
    </row>
    <row r="476" spans="1:64" ht="15" customHeight="1">
      <c r="A476" s="11" t="s">
        <v>53</v>
      </c>
      <c r="B476" s="48" t="s">
        <v>629</v>
      </c>
      <c r="C476" s="48" t="s">
        <v>718</v>
      </c>
      <c r="D476" s="61" t="s">
        <v>881</v>
      </c>
      <c r="E476" s="61"/>
      <c r="F476" s="61"/>
      <c r="G476" s="61"/>
      <c r="H476" s="48" t="s">
        <v>1216</v>
      </c>
      <c r="I476" s="13">
        <v>205</v>
      </c>
      <c r="J476" s="13">
        <v>0</v>
      </c>
      <c r="K476" s="13">
        <f t="shared" si="342"/>
        <v>0</v>
      </c>
      <c r="L476" s="13">
        <f t="shared" si="343"/>
        <v>0</v>
      </c>
      <c r="M476" s="13">
        <f t="shared" si="344"/>
        <v>0</v>
      </c>
      <c r="N476" s="13">
        <v>0</v>
      </c>
      <c r="O476" s="10" t="s">
        <v>851</v>
      </c>
      <c r="Z476" s="13">
        <f t="shared" si="345"/>
        <v>0</v>
      </c>
      <c r="AB476" s="13">
        <f t="shared" si="346"/>
        <v>0</v>
      </c>
      <c r="AC476" s="13">
        <f t="shared" si="347"/>
        <v>0</v>
      </c>
      <c r="AD476" s="13">
        <f t="shared" si="348"/>
        <v>0</v>
      </c>
      <c r="AE476" s="13">
        <f t="shared" si="349"/>
        <v>0</v>
      </c>
      <c r="AF476" s="13">
        <f t="shared" si="350"/>
        <v>0</v>
      </c>
      <c r="AG476" s="13">
        <f t="shared" si="351"/>
        <v>0</v>
      </c>
      <c r="AH476" s="13">
        <f t="shared" si="352"/>
        <v>0</v>
      </c>
      <c r="AI476" s="21" t="s">
        <v>629</v>
      </c>
      <c r="AJ476" s="13">
        <f t="shared" si="353"/>
        <v>0</v>
      </c>
      <c r="AK476" s="13">
        <f t="shared" si="354"/>
        <v>0</v>
      </c>
      <c r="AL476" s="13">
        <f t="shared" si="355"/>
        <v>0</v>
      </c>
      <c r="AN476" s="13">
        <v>21</v>
      </c>
      <c r="AO476" s="13">
        <f>J476*0</f>
        <v>0</v>
      </c>
      <c r="AP476" s="13">
        <f>J476*(1-0)</f>
        <v>0</v>
      </c>
      <c r="AQ476" s="32" t="s">
        <v>1231</v>
      </c>
      <c r="AV476" s="13">
        <f t="shared" si="356"/>
        <v>0</v>
      </c>
      <c r="AW476" s="13">
        <f t="shared" si="357"/>
        <v>0</v>
      </c>
      <c r="AX476" s="13">
        <f t="shared" si="358"/>
        <v>0</v>
      </c>
      <c r="AY476" s="32" t="s">
        <v>603</v>
      </c>
      <c r="AZ476" s="32" t="s">
        <v>1386</v>
      </c>
      <c r="BA476" s="21" t="s">
        <v>436</v>
      </c>
      <c r="BC476" s="13">
        <f t="shared" si="359"/>
        <v>0</v>
      </c>
      <c r="BD476" s="13">
        <f t="shared" si="360"/>
        <v>0</v>
      </c>
      <c r="BE476" s="13">
        <v>0</v>
      </c>
      <c r="BF476" s="13">
        <f>476</f>
        <v>476</v>
      </c>
      <c r="BH476" s="13">
        <f t="shared" si="361"/>
        <v>0</v>
      </c>
      <c r="BI476" s="13">
        <f t="shared" si="362"/>
        <v>0</v>
      </c>
      <c r="BJ476" s="13">
        <f t="shared" si="363"/>
        <v>0</v>
      </c>
      <c r="BK476" s="13"/>
      <c r="BL476" s="13">
        <v>18</v>
      </c>
    </row>
    <row r="477" spans="1:64" ht="15" customHeight="1">
      <c r="A477" s="11" t="s">
        <v>889</v>
      </c>
      <c r="B477" s="48" t="s">
        <v>629</v>
      </c>
      <c r="C477" s="48" t="s">
        <v>176</v>
      </c>
      <c r="D477" s="61" t="s">
        <v>59</v>
      </c>
      <c r="E477" s="61"/>
      <c r="F477" s="61"/>
      <c r="G477" s="61"/>
      <c r="H477" s="48" t="s">
        <v>299</v>
      </c>
      <c r="I477" s="13">
        <v>10</v>
      </c>
      <c r="J477" s="13">
        <v>0</v>
      </c>
      <c r="K477" s="13">
        <f t="shared" si="342"/>
        <v>0</v>
      </c>
      <c r="L477" s="13">
        <f t="shared" si="343"/>
        <v>0</v>
      </c>
      <c r="M477" s="13">
        <f t="shared" si="344"/>
        <v>0</v>
      </c>
      <c r="N477" s="13">
        <v>0.01397</v>
      </c>
      <c r="O477" s="10" t="s">
        <v>851</v>
      </c>
      <c r="Z477" s="13">
        <f t="shared" si="345"/>
        <v>0</v>
      </c>
      <c r="AB477" s="13">
        <f t="shared" si="346"/>
        <v>0</v>
      </c>
      <c r="AC477" s="13">
        <f t="shared" si="347"/>
        <v>0</v>
      </c>
      <c r="AD477" s="13">
        <f t="shared" si="348"/>
        <v>0</v>
      </c>
      <c r="AE477" s="13">
        <f t="shared" si="349"/>
        <v>0</v>
      </c>
      <c r="AF477" s="13">
        <f t="shared" si="350"/>
        <v>0</v>
      </c>
      <c r="AG477" s="13">
        <f t="shared" si="351"/>
        <v>0</v>
      </c>
      <c r="AH477" s="13">
        <f t="shared" si="352"/>
        <v>0</v>
      </c>
      <c r="AI477" s="21" t="s">
        <v>629</v>
      </c>
      <c r="AJ477" s="13">
        <f t="shared" si="353"/>
        <v>0</v>
      </c>
      <c r="AK477" s="13">
        <f t="shared" si="354"/>
        <v>0</v>
      </c>
      <c r="AL477" s="13">
        <f t="shared" si="355"/>
        <v>0</v>
      </c>
      <c r="AN477" s="13">
        <v>21</v>
      </c>
      <c r="AO477" s="13">
        <f>J477*0.149796512387908</f>
        <v>0</v>
      </c>
      <c r="AP477" s="13">
        <f>J477*(1-0.149796512387908)</f>
        <v>0</v>
      </c>
      <c r="AQ477" s="32" t="s">
        <v>1231</v>
      </c>
      <c r="AV477" s="13">
        <f t="shared" si="356"/>
        <v>0</v>
      </c>
      <c r="AW477" s="13">
        <f t="shared" si="357"/>
        <v>0</v>
      </c>
      <c r="AX477" s="13">
        <f t="shared" si="358"/>
        <v>0</v>
      </c>
      <c r="AY477" s="32" t="s">
        <v>603</v>
      </c>
      <c r="AZ477" s="32" t="s">
        <v>1386</v>
      </c>
      <c r="BA477" s="21" t="s">
        <v>436</v>
      </c>
      <c r="BC477" s="13">
        <f t="shared" si="359"/>
        <v>0</v>
      </c>
      <c r="BD477" s="13">
        <f t="shared" si="360"/>
        <v>0</v>
      </c>
      <c r="BE477" s="13">
        <v>0</v>
      </c>
      <c r="BF477" s="13">
        <f>477</f>
        <v>477</v>
      </c>
      <c r="BH477" s="13">
        <f t="shared" si="361"/>
        <v>0</v>
      </c>
      <c r="BI477" s="13">
        <f t="shared" si="362"/>
        <v>0</v>
      </c>
      <c r="BJ477" s="13">
        <f t="shared" si="363"/>
        <v>0</v>
      </c>
      <c r="BK477" s="13"/>
      <c r="BL477" s="13">
        <v>18</v>
      </c>
    </row>
    <row r="478" spans="1:64" ht="15" customHeight="1">
      <c r="A478" s="11" t="s">
        <v>776</v>
      </c>
      <c r="B478" s="48" t="s">
        <v>629</v>
      </c>
      <c r="C478" s="48" t="s">
        <v>506</v>
      </c>
      <c r="D478" s="61" t="s">
        <v>1255</v>
      </c>
      <c r="E478" s="61"/>
      <c r="F478" s="61"/>
      <c r="G478" s="61"/>
      <c r="H478" s="48" t="s">
        <v>299</v>
      </c>
      <c r="I478" s="13">
        <v>10</v>
      </c>
      <c r="J478" s="13">
        <v>0</v>
      </c>
      <c r="K478" s="13">
        <f t="shared" si="342"/>
        <v>0</v>
      </c>
      <c r="L478" s="13">
        <f t="shared" si="343"/>
        <v>0</v>
      </c>
      <c r="M478" s="13">
        <f t="shared" si="344"/>
        <v>0</v>
      </c>
      <c r="N478" s="13">
        <v>0.005</v>
      </c>
      <c r="O478" s="10" t="s">
        <v>851</v>
      </c>
      <c r="Z478" s="13">
        <f t="shared" si="345"/>
        <v>0</v>
      </c>
      <c r="AB478" s="13">
        <f t="shared" si="346"/>
        <v>0</v>
      </c>
      <c r="AC478" s="13">
        <f t="shared" si="347"/>
        <v>0</v>
      </c>
      <c r="AD478" s="13">
        <f t="shared" si="348"/>
        <v>0</v>
      </c>
      <c r="AE478" s="13">
        <f t="shared" si="349"/>
        <v>0</v>
      </c>
      <c r="AF478" s="13">
        <f t="shared" si="350"/>
        <v>0</v>
      </c>
      <c r="AG478" s="13">
        <f t="shared" si="351"/>
        <v>0</v>
      </c>
      <c r="AH478" s="13">
        <f t="shared" si="352"/>
        <v>0</v>
      </c>
      <c r="AI478" s="21" t="s">
        <v>629</v>
      </c>
      <c r="AJ478" s="13">
        <f t="shared" si="353"/>
        <v>0</v>
      </c>
      <c r="AK478" s="13">
        <f t="shared" si="354"/>
        <v>0</v>
      </c>
      <c r="AL478" s="13">
        <f t="shared" si="355"/>
        <v>0</v>
      </c>
      <c r="AN478" s="13">
        <v>21</v>
      </c>
      <c r="AO478" s="13">
        <f>J478*1</f>
        <v>0</v>
      </c>
      <c r="AP478" s="13">
        <f>J478*(1-1)</f>
        <v>0</v>
      </c>
      <c r="AQ478" s="32" t="s">
        <v>1231</v>
      </c>
      <c r="AV478" s="13">
        <f t="shared" si="356"/>
        <v>0</v>
      </c>
      <c r="AW478" s="13">
        <f t="shared" si="357"/>
        <v>0</v>
      </c>
      <c r="AX478" s="13">
        <f t="shared" si="358"/>
        <v>0</v>
      </c>
      <c r="AY478" s="32" t="s">
        <v>603</v>
      </c>
      <c r="AZ478" s="32" t="s">
        <v>1386</v>
      </c>
      <c r="BA478" s="21" t="s">
        <v>436</v>
      </c>
      <c r="BC478" s="13">
        <f t="shared" si="359"/>
        <v>0</v>
      </c>
      <c r="BD478" s="13">
        <f t="shared" si="360"/>
        <v>0</v>
      </c>
      <c r="BE478" s="13">
        <v>0</v>
      </c>
      <c r="BF478" s="13">
        <f>478</f>
        <v>478</v>
      </c>
      <c r="BH478" s="13">
        <f t="shared" si="361"/>
        <v>0</v>
      </c>
      <c r="BI478" s="13">
        <f t="shared" si="362"/>
        <v>0</v>
      </c>
      <c r="BJ478" s="13">
        <f t="shared" si="363"/>
        <v>0</v>
      </c>
      <c r="BK478" s="13"/>
      <c r="BL478" s="13">
        <v>18</v>
      </c>
    </row>
    <row r="479" spans="1:15" ht="27" customHeight="1">
      <c r="A479" s="39"/>
      <c r="C479" s="7" t="s">
        <v>106</v>
      </c>
      <c r="D479" s="74" t="s">
        <v>1285</v>
      </c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6"/>
    </row>
    <row r="480" spans="1:64" ht="15" customHeight="1">
      <c r="A480" s="11" t="s">
        <v>809</v>
      </c>
      <c r="B480" s="48" t="s">
        <v>629</v>
      </c>
      <c r="C480" s="48" t="s">
        <v>759</v>
      </c>
      <c r="D480" s="61" t="s">
        <v>74</v>
      </c>
      <c r="E480" s="61"/>
      <c r="F480" s="61"/>
      <c r="G480" s="61"/>
      <c r="H480" s="48" t="s">
        <v>299</v>
      </c>
      <c r="I480" s="13">
        <v>10</v>
      </c>
      <c r="J480" s="13">
        <v>0</v>
      </c>
      <c r="K480" s="13">
        <f aca="true" t="shared" si="364" ref="K480:K485">I480*AO480</f>
        <v>0</v>
      </c>
      <c r="L480" s="13">
        <f aca="true" t="shared" si="365" ref="L480:L485">I480*AP480</f>
        <v>0</v>
      </c>
      <c r="M480" s="13">
        <f aca="true" t="shared" si="366" ref="M480:M485">I480*J480</f>
        <v>0</v>
      </c>
      <c r="N480" s="13">
        <v>0.00045</v>
      </c>
      <c r="O480" s="10" t="s">
        <v>851</v>
      </c>
      <c r="Z480" s="13">
        <f aca="true" t="shared" si="367" ref="Z480:Z485">IF(AQ480="5",BJ480,0)</f>
        <v>0</v>
      </c>
      <c r="AB480" s="13">
        <f aca="true" t="shared" si="368" ref="AB480:AB485">IF(AQ480="1",BH480,0)</f>
        <v>0</v>
      </c>
      <c r="AC480" s="13">
        <f aca="true" t="shared" si="369" ref="AC480:AC485">IF(AQ480="1",BI480,0)</f>
        <v>0</v>
      </c>
      <c r="AD480" s="13">
        <f aca="true" t="shared" si="370" ref="AD480:AD485">IF(AQ480="7",BH480,0)</f>
        <v>0</v>
      </c>
      <c r="AE480" s="13">
        <f aca="true" t="shared" si="371" ref="AE480:AE485">IF(AQ480="7",BI480,0)</f>
        <v>0</v>
      </c>
      <c r="AF480" s="13">
        <f aca="true" t="shared" si="372" ref="AF480:AF485">IF(AQ480="2",BH480,0)</f>
        <v>0</v>
      </c>
      <c r="AG480" s="13">
        <f aca="true" t="shared" si="373" ref="AG480:AG485">IF(AQ480="2",BI480,0)</f>
        <v>0</v>
      </c>
      <c r="AH480" s="13">
        <f aca="true" t="shared" si="374" ref="AH480:AH485">IF(AQ480="0",BJ480,0)</f>
        <v>0</v>
      </c>
      <c r="AI480" s="21" t="s">
        <v>629</v>
      </c>
      <c r="AJ480" s="13">
        <f aca="true" t="shared" si="375" ref="AJ480:AJ485">IF(AN480=0,M480,0)</f>
        <v>0</v>
      </c>
      <c r="AK480" s="13">
        <f aca="true" t="shared" si="376" ref="AK480:AK485">IF(AN480=15,M480,0)</f>
        <v>0</v>
      </c>
      <c r="AL480" s="13">
        <f aca="true" t="shared" si="377" ref="AL480:AL485">IF(AN480=21,M480,0)</f>
        <v>0</v>
      </c>
      <c r="AN480" s="13">
        <v>21</v>
      </c>
      <c r="AO480" s="13">
        <f>J480*0.194008810572687</f>
        <v>0</v>
      </c>
      <c r="AP480" s="13">
        <f>J480*(1-0.194008810572687)</f>
        <v>0</v>
      </c>
      <c r="AQ480" s="32" t="s">
        <v>1231</v>
      </c>
      <c r="AV480" s="13">
        <f aca="true" t="shared" si="378" ref="AV480:AV485">AW480+AX480</f>
        <v>0</v>
      </c>
      <c r="AW480" s="13">
        <f aca="true" t="shared" si="379" ref="AW480:AW485">I480*AO480</f>
        <v>0</v>
      </c>
      <c r="AX480" s="13">
        <f aca="true" t="shared" si="380" ref="AX480:AX485">I480*AP480</f>
        <v>0</v>
      </c>
      <c r="AY480" s="32" t="s">
        <v>603</v>
      </c>
      <c r="AZ480" s="32" t="s">
        <v>1386</v>
      </c>
      <c r="BA480" s="21" t="s">
        <v>436</v>
      </c>
      <c r="BC480" s="13">
        <f aca="true" t="shared" si="381" ref="BC480:BC485">AW480+AX480</f>
        <v>0</v>
      </c>
      <c r="BD480" s="13">
        <f aca="true" t="shared" si="382" ref="BD480:BD485">J480/(100-BE480)*100</f>
        <v>0</v>
      </c>
      <c r="BE480" s="13">
        <v>0</v>
      </c>
      <c r="BF480" s="13">
        <f>480</f>
        <v>480</v>
      </c>
      <c r="BH480" s="13">
        <f aca="true" t="shared" si="383" ref="BH480:BH485">I480*AO480</f>
        <v>0</v>
      </c>
      <c r="BI480" s="13">
        <f aca="true" t="shared" si="384" ref="BI480:BI485">I480*AP480</f>
        <v>0</v>
      </c>
      <c r="BJ480" s="13">
        <f aca="true" t="shared" si="385" ref="BJ480:BJ485">I480*J480</f>
        <v>0</v>
      </c>
      <c r="BK480" s="13"/>
      <c r="BL480" s="13">
        <v>18</v>
      </c>
    </row>
    <row r="481" spans="1:64" ht="15" customHeight="1">
      <c r="A481" s="11" t="s">
        <v>1288</v>
      </c>
      <c r="B481" s="48" t="s">
        <v>629</v>
      </c>
      <c r="C481" s="48" t="s">
        <v>720</v>
      </c>
      <c r="D481" s="61" t="s">
        <v>1040</v>
      </c>
      <c r="E481" s="61"/>
      <c r="F481" s="61"/>
      <c r="G481" s="61"/>
      <c r="H481" s="48" t="s">
        <v>1216</v>
      </c>
      <c r="I481" s="13">
        <v>72</v>
      </c>
      <c r="J481" s="13">
        <v>0</v>
      </c>
      <c r="K481" s="13">
        <f t="shared" si="364"/>
        <v>0</v>
      </c>
      <c r="L481" s="13">
        <f t="shared" si="365"/>
        <v>0</v>
      </c>
      <c r="M481" s="13">
        <f t="shared" si="366"/>
        <v>0</v>
      </c>
      <c r="N481" s="13">
        <v>0.0002</v>
      </c>
      <c r="O481" s="10" t="s">
        <v>851</v>
      </c>
      <c r="Z481" s="13">
        <f t="shared" si="367"/>
        <v>0</v>
      </c>
      <c r="AB481" s="13">
        <f t="shared" si="368"/>
        <v>0</v>
      </c>
      <c r="AC481" s="13">
        <f t="shared" si="369"/>
        <v>0</v>
      </c>
      <c r="AD481" s="13">
        <f t="shared" si="370"/>
        <v>0</v>
      </c>
      <c r="AE481" s="13">
        <f t="shared" si="371"/>
        <v>0</v>
      </c>
      <c r="AF481" s="13">
        <f t="shared" si="372"/>
        <v>0</v>
      </c>
      <c r="AG481" s="13">
        <f t="shared" si="373"/>
        <v>0</v>
      </c>
      <c r="AH481" s="13">
        <f t="shared" si="374"/>
        <v>0</v>
      </c>
      <c r="AI481" s="21" t="s">
        <v>629</v>
      </c>
      <c r="AJ481" s="13">
        <f t="shared" si="375"/>
        <v>0</v>
      </c>
      <c r="AK481" s="13">
        <f t="shared" si="376"/>
        <v>0</v>
      </c>
      <c r="AL481" s="13">
        <f t="shared" si="377"/>
        <v>0</v>
      </c>
      <c r="AN481" s="13">
        <v>21</v>
      </c>
      <c r="AO481" s="13">
        <f>J481*0.599917508764694</f>
        <v>0</v>
      </c>
      <c r="AP481" s="13">
        <f>J481*(1-0.599917508764694)</f>
        <v>0</v>
      </c>
      <c r="AQ481" s="32" t="s">
        <v>1231</v>
      </c>
      <c r="AV481" s="13">
        <f t="shared" si="378"/>
        <v>0</v>
      </c>
      <c r="AW481" s="13">
        <f t="shared" si="379"/>
        <v>0</v>
      </c>
      <c r="AX481" s="13">
        <f t="shared" si="380"/>
        <v>0</v>
      </c>
      <c r="AY481" s="32" t="s">
        <v>603</v>
      </c>
      <c r="AZ481" s="32" t="s">
        <v>1386</v>
      </c>
      <c r="BA481" s="21" t="s">
        <v>436</v>
      </c>
      <c r="BC481" s="13">
        <f t="shared" si="381"/>
        <v>0</v>
      </c>
      <c r="BD481" s="13">
        <f t="shared" si="382"/>
        <v>0</v>
      </c>
      <c r="BE481" s="13">
        <v>0</v>
      </c>
      <c r="BF481" s="13">
        <f>481</f>
        <v>481</v>
      </c>
      <c r="BH481" s="13">
        <f t="shared" si="383"/>
        <v>0</v>
      </c>
      <c r="BI481" s="13">
        <f t="shared" si="384"/>
        <v>0</v>
      </c>
      <c r="BJ481" s="13">
        <f t="shared" si="385"/>
        <v>0</v>
      </c>
      <c r="BK481" s="13"/>
      <c r="BL481" s="13">
        <v>18</v>
      </c>
    </row>
    <row r="482" spans="1:64" ht="15" customHeight="1">
      <c r="A482" s="11" t="s">
        <v>1143</v>
      </c>
      <c r="B482" s="48" t="s">
        <v>629</v>
      </c>
      <c r="C482" s="48" t="s">
        <v>281</v>
      </c>
      <c r="D482" s="61" t="s">
        <v>1118</v>
      </c>
      <c r="E482" s="61"/>
      <c r="F482" s="61"/>
      <c r="G482" s="61"/>
      <c r="H482" s="48" t="s">
        <v>1216</v>
      </c>
      <c r="I482" s="13">
        <v>72</v>
      </c>
      <c r="J482" s="13">
        <v>0</v>
      </c>
      <c r="K482" s="13">
        <f t="shared" si="364"/>
        <v>0</v>
      </c>
      <c r="L482" s="13">
        <f t="shared" si="365"/>
        <v>0</v>
      </c>
      <c r="M482" s="13">
        <f t="shared" si="366"/>
        <v>0</v>
      </c>
      <c r="N482" s="13">
        <v>0</v>
      </c>
      <c r="O482" s="10" t="s">
        <v>851</v>
      </c>
      <c r="Z482" s="13">
        <f t="shared" si="367"/>
        <v>0</v>
      </c>
      <c r="AB482" s="13">
        <f t="shared" si="368"/>
        <v>0</v>
      </c>
      <c r="AC482" s="13">
        <f t="shared" si="369"/>
        <v>0</v>
      </c>
      <c r="AD482" s="13">
        <f t="shared" si="370"/>
        <v>0</v>
      </c>
      <c r="AE482" s="13">
        <f t="shared" si="371"/>
        <v>0</v>
      </c>
      <c r="AF482" s="13">
        <f t="shared" si="372"/>
        <v>0</v>
      </c>
      <c r="AG482" s="13">
        <f t="shared" si="373"/>
        <v>0</v>
      </c>
      <c r="AH482" s="13">
        <f t="shared" si="374"/>
        <v>0</v>
      </c>
      <c r="AI482" s="21" t="s">
        <v>629</v>
      </c>
      <c r="AJ482" s="13">
        <f t="shared" si="375"/>
        <v>0</v>
      </c>
      <c r="AK482" s="13">
        <f t="shared" si="376"/>
        <v>0</v>
      </c>
      <c r="AL482" s="13">
        <f t="shared" si="377"/>
        <v>0</v>
      </c>
      <c r="AN482" s="13">
        <v>21</v>
      </c>
      <c r="AO482" s="13">
        <f>J482*0</f>
        <v>0</v>
      </c>
      <c r="AP482" s="13">
        <f>J482*(1-0)</f>
        <v>0</v>
      </c>
      <c r="AQ482" s="32" t="s">
        <v>1231</v>
      </c>
      <c r="AV482" s="13">
        <f t="shared" si="378"/>
        <v>0</v>
      </c>
      <c r="AW482" s="13">
        <f t="shared" si="379"/>
        <v>0</v>
      </c>
      <c r="AX482" s="13">
        <f t="shared" si="380"/>
        <v>0</v>
      </c>
      <c r="AY482" s="32" t="s">
        <v>603</v>
      </c>
      <c r="AZ482" s="32" t="s">
        <v>1386</v>
      </c>
      <c r="BA482" s="21" t="s">
        <v>436</v>
      </c>
      <c r="BC482" s="13">
        <f t="shared" si="381"/>
        <v>0</v>
      </c>
      <c r="BD482" s="13">
        <f t="shared" si="382"/>
        <v>0</v>
      </c>
      <c r="BE482" s="13">
        <v>0</v>
      </c>
      <c r="BF482" s="13">
        <f>482</f>
        <v>482</v>
      </c>
      <c r="BH482" s="13">
        <f t="shared" si="383"/>
        <v>0</v>
      </c>
      <c r="BI482" s="13">
        <f t="shared" si="384"/>
        <v>0</v>
      </c>
      <c r="BJ482" s="13">
        <f t="shared" si="385"/>
        <v>0</v>
      </c>
      <c r="BK482" s="13"/>
      <c r="BL482" s="13">
        <v>18</v>
      </c>
    </row>
    <row r="483" spans="1:64" ht="15" customHeight="1">
      <c r="A483" s="11" t="s">
        <v>960</v>
      </c>
      <c r="B483" s="48" t="s">
        <v>629</v>
      </c>
      <c r="C483" s="48" t="s">
        <v>1110</v>
      </c>
      <c r="D483" s="61" t="s">
        <v>790</v>
      </c>
      <c r="E483" s="61"/>
      <c r="F483" s="61"/>
      <c r="G483" s="61"/>
      <c r="H483" s="48" t="s">
        <v>1195</v>
      </c>
      <c r="I483" s="13">
        <v>6</v>
      </c>
      <c r="J483" s="13">
        <v>0</v>
      </c>
      <c r="K483" s="13">
        <f t="shared" si="364"/>
        <v>0</v>
      </c>
      <c r="L483" s="13">
        <f t="shared" si="365"/>
        <v>0</v>
      </c>
      <c r="M483" s="13">
        <f t="shared" si="366"/>
        <v>0</v>
      </c>
      <c r="N483" s="13">
        <v>0</v>
      </c>
      <c r="O483" s="10" t="s">
        <v>851</v>
      </c>
      <c r="Z483" s="13">
        <f t="shared" si="367"/>
        <v>0</v>
      </c>
      <c r="AB483" s="13">
        <f t="shared" si="368"/>
        <v>0</v>
      </c>
      <c r="AC483" s="13">
        <f t="shared" si="369"/>
        <v>0</v>
      </c>
      <c r="AD483" s="13">
        <f t="shared" si="370"/>
        <v>0</v>
      </c>
      <c r="AE483" s="13">
        <f t="shared" si="371"/>
        <v>0</v>
      </c>
      <c r="AF483" s="13">
        <f t="shared" si="372"/>
        <v>0</v>
      </c>
      <c r="AG483" s="13">
        <f t="shared" si="373"/>
        <v>0</v>
      </c>
      <c r="AH483" s="13">
        <f t="shared" si="374"/>
        <v>0</v>
      </c>
      <c r="AI483" s="21" t="s">
        <v>629</v>
      </c>
      <c r="AJ483" s="13">
        <f t="shared" si="375"/>
        <v>0</v>
      </c>
      <c r="AK483" s="13">
        <f t="shared" si="376"/>
        <v>0</v>
      </c>
      <c r="AL483" s="13">
        <f t="shared" si="377"/>
        <v>0</v>
      </c>
      <c r="AN483" s="13">
        <v>21</v>
      </c>
      <c r="AO483" s="13">
        <f>J483*0.306501547987616</f>
        <v>0</v>
      </c>
      <c r="AP483" s="13">
        <f>J483*(1-0.306501547987616)</f>
        <v>0</v>
      </c>
      <c r="AQ483" s="32" t="s">
        <v>1231</v>
      </c>
      <c r="AV483" s="13">
        <f t="shared" si="378"/>
        <v>0</v>
      </c>
      <c r="AW483" s="13">
        <f t="shared" si="379"/>
        <v>0</v>
      </c>
      <c r="AX483" s="13">
        <f t="shared" si="380"/>
        <v>0</v>
      </c>
      <c r="AY483" s="32" t="s">
        <v>603</v>
      </c>
      <c r="AZ483" s="32" t="s">
        <v>1386</v>
      </c>
      <c r="BA483" s="21" t="s">
        <v>436</v>
      </c>
      <c r="BC483" s="13">
        <f t="shared" si="381"/>
        <v>0</v>
      </c>
      <c r="BD483" s="13">
        <f t="shared" si="382"/>
        <v>0</v>
      </c>
      <c r="BE483" s="13">
        <v>0</v>
      </c>
      <c r="BF483" s="13">
        <f>483</f>
        <v>483</v>
      </c>
      <c r="BH483" s="13">
        <f t="shared" si="383"/>
        <v>0</v>
      </c>
      <c r="BI483" s="13">
        <f t="shared" si="384"/>
        <v>0</v>
      </c>
      <c r="BJ483" s="13">
        <f t="shared" si="385"/>
        <v>0</v>
      </c>
      <c r="BK483" s="13"/>
      <c r="BL483" s="13">
        <v>18</v>
      </c>
    </row>
    <row r="484" spans="1:64" ht="15" customHeight="1">
      <c r="A484" s="11" t="s">
        <v>908</v>
      </c>
      <c r="B484" s="48" t="s">
        <v>629</v>
      </c>
      <c r="C484" s="48" t="s">
        <v>1074</v>
      </c>
      <c r="D484" s="61" t="s">
        <v>384</v>
      </c>
      <c r="E484" s="61"/>
      <c r="F484" s="61"/>
      <c r="G484" s="61"/>
      <c r="H484" s="48" t="s">
        <v>1216</v>
      </c>
      <c r="I484" s="13">
        <v>200</v>
      </c>
      <c r="J484" s="13">
        <v>0</v>
      </c>
      <c r="K484" s="13">
        <f t="shared" si="364"/>
        <v>0</v>
      </c>
      <c r="L484" s="13">
        <f t="shared" si="365"/>
        <v>0</v>
      </c>
      <c r="M484" s="13">
        <f t="shared" si="366"/>
        <v>0</v>
      </c>
      <c r="N484" s="13">
        <v>0</v>
      </c>
      <c r="O484" s="10" t="s">
        <v>851</v>
      </c>
      <c r="Z484" s="13">
        <f t="shared" si="367"/>
        <v>0</v>
      </c>
      <c r="AB484" s="13">
        <f t="shared" si="368"/>
        <v>0</v>
      </c>
      <c r="AC484" s="13">
        <f t="shared" si="369"/>
        <v>0</v>
      </c>
      <c r="AD484" s="13">
        <f t="shared" si="370"/>
        <v>0</v>
      </c>
      <c r="AE484" s="13">
        <f t="shared" si="371"/>
        <v>0</v>
      </c>
      <c r="AF484" s="13">
        <f t="shared" si="372"/>
        <v>0</v>
      </c>
      <c r="AG484" s="13">
        <f t="shared" si="373"/>
        <v>0</v>
      </c>
      <c r="AH484" s="13">
        <f t="shared" si="374"/>
        <v>0</v>
      </c>
      <c r="AI484" s="21" t="s">
        <v>629</v>
      </c>
      <c r="AJ484" s="13">
        <f t="shared" si="375"/>
        <v>0</v>
      </c>
      <c r="AK484" s="13">
        <f t="shared" si="376"/>
        <v>0</v>
      </c>
      <c r="AL484" s="13">
        <f t="shared" si="377"/>
        <v>0</v>
      </c>
      <c r="AN484" s="13">
        <v>21</v>
      </c>
      <c r="AO484" s="13">
        <f>J484*0</f>
        <v>0</v>
      </c>
      <c r="AP484" s="13">
        <f>J484*(1-0)</f>
        <v>0</v>
      </c>
      <c r="AQ484" s="32" t="s">
        <v>1231</v>
      </c>
      <c r="AV484" s="13">
        <f t="shared" si="378"/>
        <v>0</v>
      </c>
      <c r="AW484" s="13">
        <f t="shared" si="379"/>
        <v>0</v>
      </c>
      <c r="AX484" s="13">
        <f t="shared" si="380"/>
        <v>0</v>
      </c>
      <c r="AY484" s="32" t="s">
        <v>603</v>
      </c>
      <c r="AZ484" s="32" t="s">
        <v>1386</v>
      </c>
      <c r="BA484" s="21" t="s">
        <v>436</v>
      </c>
      <c r="BC484" s="13">
        <f t="shared" si="381"/>
        <v>0</v>
      </c>
      <c r="BD484" s="13">
        <f t="shared" si="382"/>
        <v>0</v>
      </c>
      <c r="BE484" s="13">
        <v>0</v>
      </c>
      <c r="BF484" s="13">
        <f>484</f>
        <v>484</v>
      </c>
      <c r="BH484" s="13">
        <f t="shared" si="383"/>
        <v>0</v>
      </c>
      <c r="BI484" s="13">
        <f t="shared" si="384"/>
        <v>0</v>
      </c>
      <c r="BJ484" s="13">
        <f t="shared" si="385"/>
        <v>0</v>
      </c>
      <c r="BK484" s="13"/>
      <c r="BL484" s="13">
        <v>18</v>
      </c>
    </row>
    <row r="485" spans="1:64" ht="15" customHeight="1">
      <c r="A485" s="11" t="s">
        <v>751</v>
      </c>
      <c r="B485" s="48" t="s">
        <v>629</v>
      </c>
      <c r="C485" s="48" t="s">
        <v>741</v>
      </c>
      <c r="D485" s="61" t="s">
        <v>76</v>
      </c>
      <c r="E485" s="61"/>
      <c r="F485" s="61"/>
      <c r="G485" s="61"/>
      <c r="H485" s="48" t="s">
        <v>380</v>
      </c>
      <c r="I485" s="13">
        <v>3</v>
      </c>
      <c r="J485" s="13">
        <v>0</v>
      </c>
      <c r="K485" s="13">
        <f t="shared" si="364"/>
        <v>0</v>
      </c>
      <c r="L485" s="13">
        <f t="shared" si="365"/>
        <v>0</v>
      </c>
      <c r="M485" s="13">
        <f t="shared" si="366"/>
        <v>0</v>
      </c>
      <c r="N485" s="13">
        <v>0.001</v>
      </c>
      <c r="O485" s="10" t="s">
        <v>851</v>
      </c>
      <c r="Z485" s="13">
        <f t="shared" si="367"/>
        <v>0</v>
      </c>
      <c r="AB485" s="13">
        <f t="shared" si="368"/>
        <v>0</v>
      </c>
      <c r="AC485" s="13">
        <f t="shared" si="369"/>
        <v>0</v>
      </c>
      <c r="AD485" s="13">
        <f t="shared" si="370"/>
        <v>0</v>
      </c>
      <c r="AE485" s="13">
        <f t="shared" si="371"/>
        <v>0</v>
      </c>
      <c r="AF485" s="13">
        <f t="shared" si="372"/>
        <v>0</v>
      </c>
      <c r="AG485" s="13">
        <f t="shared" si="373"/>
        <v>0</v>
      </c>
      <c r="AH485" s="13">
        <f t="shared" si="374"/>
        <v>0</v>
      </c>
      <c r="AI485" s="21" t="s">
        <v>629</v>
      </c>
      <c r="AJ485" s="13">
        <f t="shared" si="375"/>
        <v>0</v>
      </c>
      <c r="AK485" s="13">
        <f t="shared" si="376"/>
        <v>0</v>
      </c>
      <c r="AL485" s="13">
        <f t="shared" si="377"/>
        <v>0</v>
      </c>
      <c r="AN485" s="13">
        <v>21</v>
      </c>
      <c r="AO485" s="13">
        <f>J485*1</f>
        <v>0</v>
      </c>
      <c r="AP485" s="13">
        <f>J485*(1-1)</f>
        <v>0</v>
      </c>
      <c r="AQ485" s="32" t="s">
        <v>1231</v>
      </c>
      <c r="AV485" s="13">
        <f t="shared" si="378"/>
        <v>0</v>
      </c>
      <c r="AW485" s="13">
        <f t="shared" si="379"/>
        <v>0</v>
      </c>
      <c r="AX485" s="13">
        <f t="shared" si="380"/>
        <v>0</v>
      </c>
      <c r="AY485" s="32" t="s">
        <v>603</v>
      </c>
      <c r="AZ485" s="32" t="s">
        <v>1386</v>
      </c>
      <c r="BA485" s="21" t="s">
        <v>436</v>
      </c>
      <c r="BC485" s="13">
        <f t="shared" si="381"/>
        <v>0</v>
      </c>
      <c r="BD485" s="13">
        <f t="shared" si="382"/>
        <v>0</v>
      </c>
      <c r="BE485" s="13">
        <v>0</v>
      </c>
      <c r="BF485" s="13">
        <f>485</f>
        <v>485</v>
      </c>
      <c r="BH485" s="13">
        <f t="shared" si="383"/>
        <v>0</v>
      </c>
      <c r="BI485" s="13">
        <f t="shared" si="384"/>
        <v>0</v>
      </c>
      <c r="BJ485" s="13">
        <f t="shared" si="385"/>
        <v>0</v>
      </c>
      <c r="BK485" s="13"/>
      <c r="BL485" s="13">
        <v>18</v>
      </c>
    </row>
    <row r="486" spans="1:15" ht="13.5" customHeight="1">
      <c r="A486" s="39"/>
      <c r="C486" s="7" t="s">
        <v>106</v>
      </c>
      <c r="D486" s="74" t="s">
        <v>842</v>
      </c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6"/>
    </row>
    <row r="487" spans="1:64" ht="15" customHeight="1">
      <c r="A487" s="11" t="s">
        <v>822</v>
      </c>
      <c r="B487" s="48" t="s">
        <v>629</v>
      </c>
      <c r="C487" s="48" t="s">
        <v>281</v>
      </c>
      <c r="D487" s="61" t="s">
        <v>1118</v>
      </c>
      <c r="E487" s="61"/>
      <c r="F487" s="61"/>
      <c r="G487" s="61"/>
      <c r="H487" s="48" t="s">
        <v>1216</v>
      </c>
      <c r="I487" s="13">
        <v>72</v>
      </c>
      <c r="J487" s="13">
        <v>0</v>
      </c>
      <c r="K487" s="13">
        <f aca="true" t="shared" si="386" ref="K487:K494">I487*AO487</f>
        <v>0</v>
      </c>
      <c r="L487" s="13">
        <f aca="true" t="shared" si="387" ref="L487:L494">I487*AP487</f>
        <v>0</v>
      </c>
      <c r="M487" s="13">
        <f aca="true" t="shared" si="388" ref="M487:M494">I487*J487</f>
        <v>0</v>
      </c>
      <c r="N487" s="13">
        <v>0</v>
      </c>
      <c r="O487" s="10" t="s">
        <v>851</v>
      </c>
      <c r="Z487" s="13">
        <f aca="true" t="shared" si="389" ref="Z487:Z494">IF(AQ487="5",BJ487,0)</f>
        <v>0</v>
      </c>
      <c r="AB487" s="13">
        <f aca="true" t="shared" si="390" ref="AB487:AB494">IF(AQ487="1",BH487,0)</f>
        <v>0</v>
      </c>
      <c r="AC487" s="13">
        <f aca="true" t="shared" si="391" ref="AC487:AC494">IF(AQ487="1",BI487,0)</f>
        <v>0</v>
      </c>
      <c r="AD487" s="13">
        <f aca="true" t="shared" si="392" ref="AD487:AD494">IF(AQ487="7",BH487,0)</f>
        <v>0</v>
      </c>
      <c r="AE487" s="13">
        <f aca="true" t="shared" si="393" ref="AE487:AE494">IF(AQ487="7",BI487,0)</f>
        <v>0</v>
      </c>
      <c r="AF487" s="13">
        <f aca="true" t="shared" si="394" ref="AF487:AF494">IF(AQ487="2",BH487,0)</f>
        <v>0</v>
      </c>
      <c r="AG487" s="13">
        <f aca="true" t="shared" si="395" ref="AG487:AG494">IF(AQ487="2",BI487,0)</f>
        <v>0</v>
      </c>
      <c r="AH487" s="13">
        <f aca="true" t="shared" si="396" ref="AH487:AH494">IF(AQ487="0",BJ487,0)</f>
        <v>0</v>
      </c>
      <c r="AI487" s="21" t="s">
        <v>629</v>
      </c>
      <c r="AJ487" s="13">
        <f aca="true" t="shared" si="397" ref="AJ487:AJ494">IF(AN487=0,M487,0)</f>
        <v>0</v>
      </c>
      <c r="AK487" s="13">
        <f aca="true" t="shared" si="398" ref="AK487:AK494">IF(AN487=15,M487,0)</f>
        <v>0</v>
      </c>
      <c r="AL487" s="13">
        <f aca="true" t="shared" si="399" ref="AL487:AL494">IF(AN487=21,M487,0)</f>
        <v>0</v>
      </c>
      <c r="AN487" s="13">
        <v>21</v>
      </c>
      <c r="AO487" s="13">
        <f>J487*0</f>
        <v>0</v>
      </c>
      <c r="AP487" s="13">
        <f>J487*(1-0)</f>
        <v>0</v>
      </c>
      <c r="AQ487" s="32" t="s">
        <v>1231</v>
      </c>
      <c r="AV487" s="13">
        <f aca="true" t="shared" si="400" ref="AV487:AV494">AW487+AX487</f>
        <v>0</v>
      </c>
      <c r="AW487" s="13">
        <f aca="true" t="shared" si="401" ref="AW487:AW494">I487*AO487</f>
        <v>0</v>
      </c>
      <c r="AX487" s="13">
        <f aca="true" t="shared" si="402" ref="AX487:AX494">I487*AP487</f>
        <v>0</v>
      </c>
      <c r="AY487" s="32" t="s">
        <v>603</v>
      </c>
      <c r="AZ487" s="32" t="s">
        <v>1386</v>
      </c>
      <c r="BA487" s="21" t="s">
        <v>436</v>
      </c>
      <c r="BC487" s="13">
        <f aca="true" t="shared" si="403" ref="BC487:BC494">AW487+AX487</f>
        <v>0</v>
      </c>
      <c r="BD487" s="13">
        <f aca="true" t="shared" si="404" ref="BD487:BD494">J487/(100-BE487)*100</f>
        <v>0</v>
      </c>
      <c r="BE487" s="13">
        <v>0</v>
      </c>
      <c r="BF487" s="13">
        <f>487</f>
        <v>487</v>
      </c>
      <c r="BH487" s="13">
        <f aca="true" t="shared" si="405" ref="BH487:BH494">I487*AO487</f>
        <v>0</v>
      </c>
      <c r="BI487" s="13">
        <f aca="true" t="shared" si="406" ref="BI487:BI494">I487*AP487</f>
        <v>0</v>
      </c>
      <c r="BJ487" s="13">
        <f aca="true" t="shared" si="407" ref="BJ487:BJ494">I487*J487</f>
        <v>0</v>
      </c>
      <c r="BK487" s="13"/>
      <c r="BL487" s="13">
        <v>18</v>
      </c>
    </row>
    <row r="488" spans="1:64" ht="15" customHeight="1">
      <c r="A488" s="11" t="s">
        <v>958</v>
      </c>
      <c r="B488" s="48" t="s">
        <v>629</v>
      </c>
      <c r="C488" s="48" t="s">
        <v>1139</v>
      </c>
      <c r="D488" s="61" t="s">
        <v>1004</v>
      </c>
      <c r="E488" s="61"/>
      <c r="F488" s="61"/>
      <c r="G488" s="61"/>
      <c r="H488" s="48" t="s">
        <v>1172</v>
      </c>
      <c r="I488" s="13">
        <v>1</v>
      </c>
      <c r="J488" s="13">
        <v>0</v>
      </c>
      <c r="K488" s="13">
        <f t="shared" si="386"/>
        <v>0</v>
      </c>
      <c r="L488" s="13">
        <f t="shared" si="387"/>
        <v>0</v>
      </c>
      <c r="M488" s="13">
        <f t="shared" si="388"/>
        <v>0</v>
      </c>
      <c r="N488" s="13">
        <v>0.001</v>
      </c>
      <c r="O488" s="10" t="s">
        <v>851</v>
      </c>
      <c r="Z488" s="13">
        <f t="shared" si="389"/>
        <v>0</v>
      </c>
      <c r="AB488" s="13">
        <f t="shared" si="390"/>
        <v>0</v>
      </c>
      <c r="AC488" s="13">
        <f t="shared" si="391"/>
        <v>0</v>
      </c>
      <c r="AD488" s="13">
        <f t="shared" si="392"/>
        <v>0</v>
      </c>
      <c r="AE488" s="13">
        <f t="shared" si="393"/>
        <v>0</v>
      </c>
      <c r="AF488" s="13">
        <f t="shared" si="394"/>
        <v>0</v>
      </c>
      <c r="AG488" s="13">
        <f t="shared" si="395"/>
        <v>0</v>
      </c>
      <c r="AH488" s="13">
        <f t="shared" si="396"/>
        <v>0</v>
      </c>
      <c r="AI488" s="21" t="s">
        <v>629</v>
      </c>
      <c r="AJ488" s="13">
        <f t="shared" si="397"/>
        <v>0</v>
      </c>
      <c r="AK488" s="13">
        <f t="shared" si="398"/>
        <v>0</v>
      </c>
      <c r="AL488" s="13">
        <f t="shared" si="399"/>
        <v>0</v>
      </c>
      <c r="AN488" s="13">
        <v>21</v>
      </c>
      <c r="AO488" s="13">
        <f>J488*1</f>
        <v>0</v>
      </c>
      <c r="AP488" s="13">
        <f>J488*(1-1)</f>
        <v>0</v>
      </c>
      <c r="AQ488" s="32" t="s">
        <v>1231</v>
      </c>
      <c r="AV488" s="13">
        <f t="shared" si="400"/>
        <v>0</v>
      </c>
      <c r="AW488" s="13">
        <f t="shared" si="401"/>
        <v>0</v>
      </c>
      <c r="AX488" s="13">
        <f t="shared" si="402"/>
        <v>0</v>
      </c>
      <c r="AY488" s="32" t="s">
        <v>603</v>
      </c>
      <c r="AZ488" s="32" t="s">
        <v>1386</v>
      </c>
      <c r="BA488" s="21" t="s">
        <v>436</v>
      </c>
      <c r="BC488" s="13">
        <f t="shared" si="403"/>
        <v>0</v>
      </c>
      <c r="BD488" s="13">
        <f t="shared" si="404"/>
        <v>0</v>
      </c>
      <c r="BE488" s="13">
        <v>0</v>
      </c>
      <c r="BF488" s="13">
        <f>488</f>
        <v>488</v>
      </c>
      <c r="BH488" s="13">
        <f t="shared" si="405"/>
        <v>0</v>
      </c>
      <c r="BI488" s="13">
        <f t="shared" si="406"/>
        <v>0</v>
      </c>
      <c r="BJ488" s="13">
        <f t="shared" si="407"/>
        <v>0</v>
      </c>
      <c r="BK488" s="13"/>
      <c r="BL488" s="13">
        <v>18</v>
      </c>
    </row>
    <row r="489" spans="1:64" ht="15" customHeight="1">
      <c r="A489" s="11" t="s">
        <v>827</v>
      </c>
      <c r="B489" s="48" t="s">
        <v>629</v>
      </c>
      <c r="C489" s="48" t="s">
        <v>740</v>
      </c>
      <c r="D489" s="61" t="s">
        <v>850</v>
      </c>
      <c r="E489" s="61"/>
      <c r="F489" s="61"/>
      <c r="G489" s="61"/>
      <c r="H489" s="48" t="s">
        <v>299</v>
      </c>
      <c r="I489" s="13">
        <v>21</v>
      </c>
      <c r="J489" s="13">
        <v>0</v>
      </c>
      <c r="K489" s="13">
        <f t="shared" si="386"/>
        <v>0</v>
      </c>
      <c r="L489" s="13">
        <f t="shared" si="387"/>
        <v>0</v>
      </c>
      <c r="M489" s="13">
        <f t="shared" si="388"/>
        <v>0</v>
      </c>
      <c r="N489" s="13">
        <v>0.0082</v>
      </c>
      <c r="O489" s="10" t="s">
        <v>851</v>
      </c>
      <c r="Z489" s="13">
        <f t="shared" si="389"/>
        <v>0</v>
      </c>
      <c r="AB489" s="13">
        <f t="shared" si="390"/>
        <v>0</v>
      </c>
      <c r="AC489" s="13">
        <f t="shared" si="391"/>
        <v>0</v>
      </c>
      <c r="AD489" s="13">
        <f t="shared" si="392"/>
        <v>0</v>
      </c>
      <c r="AE489" s="13">
        <f t="shared" si="393"/>
        <v>0</v>
      </c>
      <c r="AF489" s="13">
        <f t="shared" si="394"/>
        <v>0</v>
      </c>
      <c r="AG489" s="13">
        <f t="shared" si="395"/>
        <v>0</v>
      </c>
      <c r="AH489" s="13">
        <f t="shared" si="396"/>
        <v>0</v>
      </c>
      <c r="AI489" s="21" t="s">
        <v>629</v>
      </c>
      <c r="AJ489" s="13">
        <f t="shared" si="397"/>
        <v>0</v>
      </c>
      <c r="AK489" s="13">
        <f t="shared" si="398"/>
        <v>0</v>
      </c>
      <c r="AL489" s="13">
        <f t="shared" si="399"/>
        <v>0</v>
      </c>
      <c r="AN489" s="13">
        <v>21</v>
      </c>
      <c r="AO489" s="13">
        <f>J489*1</f>
        <v>0</v>
      </c>
      <c r="AP489" s="13">
        <f>J489*(1-1)</f>
        <v>0</v>
      </c>
      <c r="AQ489" s="32" t="s">
        <v>1231</v>
      </c>
      <c r="AV489" s="13">
        <f t="shared" si="400"/>
        <v>0</v>
      </c>
      <c r="AW489" s="13">
        <f t="shared" si="401"/>
        <v>0</v>
      </c>
      <c r="AX489" s="13">
        <f t="shared" si="402"/>
        <v>0</v>
      </c>
      <c r="AY489" s="32" t="s">
        <v>603</v>
      </c>
      <c r="AZ489" s="32" t="s">
        <v>1386</v>
      </c>
      <c r="BA489" s="21" t="s">
        <v>436</v>
      </c>
      <c r="BC489" s="13">
        <f t="shared" si="403"/>
        <v>0</v>
      </c>
      <c r="BD489" s="13">
        <f t="shared" si="404"/>
        <v>0</v>
      </c>
      <c r="BE489" s="13">
        <v>0</v>
      </c>
      <c r="BF489" s="13">
        <f>489</f>
        <v>489</v>
      </c>
      <c r="BH489" s="13">
        <f t="shared" si="405"/>
        <v>0</v>
      </c>
      <c r="BI489" s="13">
        <f t="shared" si="406"/>
        <v>0</v>
      </c>
      <c r="BJ489" s="13">
        <f t="shared" si="407"/>
        <v>0</v>
      </c>
      <c r="BK489" s="13"/>
      <c r="BL489" s="13">
        <v>18</v>
      </c>
    </row>
    <row r="490" spans="1:64" ht="15" customHeight="1">
      <c r="A490" s="11" t="s">
        <v>1019</v>
      </c>
      <c r="B490" s="48" t="s">
        <v>629</v>
      </c>
      <c r="C490" s="48" t="s">
        <v>731</v>
      </c>
      <c r="D490" s="61" t="s">
        <v>613</v>
      </c>
      <c r="E490" s="61"/>
      <c r="F490" s="61"/>
      <c r="G490" s="61"/>
      <c r="H490" s="48" t="s">
        <v>1216</v>
      </c>
      <c r="I490" s="13">
        <v>26.5</v>
      </c>
      <c r="J490" s="13">
        <v>0</v>
      </c>
      <c r="K490" s="13">
        <f t="shared" si="386"/>
        <v>0</v>
      </c>
      <c r="L490" s="13">
        <f t="shared" si="387"/>
        <v>0</v>
      </c>
      <c r="M490" s="13">
        <f t="shared" si="388"/>
        <v>0</v>
      </c>
      <c r="N490" s="13">
        <v>0.00028</v>
      </c>
      <c r="O490" s="10" t="s">
        <v>851</v>
      </c>
      <c r="Z490" s="13">
        <f t="shared" si="389"/>
        <v>0</v>
      </c>
      <c r="AB490" s="13">
        <f t="shared" si="390"/>
        <v>0</v>
      </c>
      <c r="AC490" s="13">
        <f t="shared" si="391"/>
        <v>0</v>
      </c>
      <c r="AD490" s="13">
        <f t="shared" si="392"/>
        <v>0</v>
      </c>
      <c r="AE490" s="13">
        <f t="shared" si="393"/>
        <v>0</v>
      </c>
      <c r="AF490" s="13">
        <f t="shared" si="394"/>
        <v>0</v>
      </c>
      <c r="AG490" s="13">
        <f t="shared" si="395"/>
        <v>0</v>
      </c>
      <c r="AH490" s="13">
        <f t="shared" si="396"/>
        <v>0</v>
      </c>
      <c r="AI490" s="21" t="s">
        <v>629</v>
      </c>
      <c r="AJ490" s="13">
        <f t="shared" si="397"/>
        <v>0</v>
      </c>
      <c r="AK490" s="13">
        <f t="shared" si="398"/>
        <v>0</v>
      </c>
      <c r="AL490" s="13">
        <f t="shared" si="399"/>
        <v>0</v>
      </c>
      <c r="AN490" s="13">
        <v>21</v>
      </c>
      <c r="AO490" s="13">
        <f>J490*1</f>
        <v>0</v>
      </c>
      <c r="AP490" s="13">
        <f>J490*(1-1)</f>
        <v>0</v>
      </c>
      <c r="AQ490" s="32" t="s">
        <v>1231</v>
      </c>
      <c r="AV490" s="13">
        <f t="shared" si="400"/>
        <v>0</v>
      </c>
      <c r="AW490" s="13">
        <f t="shared" si="401"/>
        <v>0</v>
      </c>
      <c r="AX490" s="13">
        <f t="shared" si="402"/>
        <v>0</v>
      </c>
      <c r="AY490" s="32" t="s">
        <v>603</v>
      </c>
      <c r="AZ490" s="32" t="s">
        <v>1386</v>
      </c>
      <c r="BA490" s="21" t="s">
        <v>436</v>
      </c>
      <c r="BC490" s="13">
        <f t="shared" si="403"/>
        <v>0</v>
      </c>
      <c r="BD490" s="13">
        <f t="shared" si="404"/>
        <v>0</v>
      </c>
      <c r="BE490" s="13">
        <v>0</v>
      </c>
      <c r="BF490" s="13">
        <f>490</f>
        <v>490</v>
      </c>
      <c r="BH490" s="13">
        <f t="shared" si="405"/>
        <v>0</v>
      </c>
      <c r="BI490" s="13">
        <f t="shared" si="406"/>
        <v>0</v>
      </c>
      <c r="BJ490" s="13">
        <f t="shared" si="407"/>
        <v>0</v>
      </c>
      <c r="BK490" s="13"/>
      <c r="BL490" s="13">
        <v>18</v>
      </c>
    </row>
    <row r="491" spans="1:64" ht="15" customHeight="1">
      <c r="A491" s="11" t="s">
        <v>430</v>
      </c>
      <c r="B491" s="48" t="s">
        <v>629</v>
      </c>
      <c r="C491" s="48" t="s">
        <v>982</v>
      </c>
      <c r="D491" s="61" t="s">
        <v>533</v>
      </c>
      <c r="E491" s="61"/>
      <c r="F491" s="61"/>
      <c r="G491" s="61"/>
      <c r="H491" s="48" t="s">
        <v>553</v>
      </c>
      <c r="I491" s="13">
        <v>5.2</v>
      </c>
      <c r="J491" s="13">
        <v>0</v>
      </c>
      <c r="K491" s="13">
        <f t="shared" si="386"/>
        <v>0</v>
      </c>
      <c r="L491" s="13">
        <f t="shared" si="387"/>
        <v>0</v>
      </c>
      <c r="M491" s="13">
        <f t="shared" si="388"/>
        <v>0</v>
      </c>
      <c r="N491" s="13">
        <v>1</v>
      </c>
      <c r="O491" s="10" t="s">
        <v>851</v>
      </c>
      <c r="Z491" s="13">
        <f t="shared" si="389"/>
        <v>0</v>
      </c>
      <c r="AB491" s="13">
        <f t="shared" si="390"/>
        <v>0</v>
      </c>
      <c r="AC491" s="13">
        <f t="shared" si="391"/>
        <v>0</v>
      </c>
      <c r="AD491" s="13">
        <f t="shared" si="392"/>
        <v>0</v>
      </c>
      <c r="AE491" s="13">
        <f t="shared" si="393"/>
        <v>0</v>
      </c>
      <c r="AF491" s="13">
        <f t="shared" si="394"/>
        <v>0</v>
      </c>
      <c r="AG491" s="13">
        <f t="shared" si="395"/>
        <v>0</v>
      </c>
      <c r="AH491" s="13">
        <f t="shared" si="396"/>
        <v>0</v>
      </c>
      <c r="AI491" s="21" t="s">
        <v>629</v>
      </c>
      <c r="AJ491" s="13">
        <f t="shared" si="397"/>
        <v>0</v>
      </c>
      <c r="AK491" s="13">
        <f t="shared" si="398"/>
        <v>0</v>
      </c>
      <c r="AL491" s="13">
        <f t="shared" si="399"/>
        <v>0</v>
      </c>
      <c r="AN491" s="13">
        <v>21</v>
      </c>
      <c r="AO491" s="13">
        <f>J491*1</f>
        <v>0</v>
      </c>
      <c r="AP491" s="13">
        <f>J491*(1-1)</f>
        <v>0</v>
      </c>
      <c r="AQ491" s="32" t="s">
        <v>1231</v>
      </c>
      <c r="AV491" s="13">
        <f t="shared" si="400"/>
        <v>0</v>
      </c>
      <c r="AW491" s="13">
        <f t="shared" si="401"/>
        <v>0</v>
      </c>
      <c r="AX491" s="13">
        <f t="shared" si="402"/>
        <v>0</v>
      </c>
      <c r="AY491" s="32" t="s">
        <v>603</v>
      </c>
      <c r="AZ491" s="32" t="s">
        <v>1386</v>
      </c>
      <c r="BA491" s="21" t="s">
        <v>436</v>
      </c>
      <c r="BC491" s="13">
        <f t="shared" si="403"/>
        <v>0</v>
      </c>
      <c r="BD491" s="13">
        <f t="shared" si="404"/>
        <v>0</v>
      </c>
      <c r="BE491" s="13">
        <v>0</v>
      </c>
      <c r="BF491" s="13">
        <f>491</f>
        <v>491</v>
      </c>
      <c r="BH491" s="13">
        <f t="shared" si="405"/>
        <v>0</v>
      </c>
      <c r="BI491" s="13">
        <f t="shared" si="406"/>
        <v>0</v>
      </c>
      <c r="BJ491" s="13">
        <f t="shared" si="407"/>
        <v>0</v>
      </c>
      <c r="BK491" s="13"/>
      <c r="BL491" s="13">
        <v>18</v>
      </c>
    </row>
    <row r="492" spans="1:64" ht="15" customHeight="1">
      <c r="A492" s="11" t="s">
        <v>277</v>
      </c>
      <c r="B492" s="48" t="s">
        <v>629</v>
      </c>
      <c r="C492" s="48" t="s">
        <v>1303</v>
      </c>
      <c r="D492" s="61" t="s">
        <v>427</v>
      </c>
      <c r="E492" s="61"/>
      <c r="F492" s="61"/>
      <c r="G492" s="61"/>
      <c r="H492" s="48" t="s">
        <v>299</v>
      </c>
      <c r="I492" s="13">
        <v>64</v>
      </c>
      <c r="J492" s="13">
        <v>0</v>
      </c>
      <c r="K492" s="13">
        <f t="shared" si="386"/>
        <v>0</v>
      </c>
      <c r="L492" s="13">
        <f t="shared" si="387"/>
        <v>0</v>
      </c>
      <c r="M492" s="13">
        <f t="shared" si="388"/>
        <v>0</v>
      </c>
      <c r="N492" s="13">
        <v>0.027</v>
      </c>
      <c r="O492" s="10" t="s">
        <v>851</v>
      </c>
      <c r="Z492" s="13">
        <f t="shared" si="389"/>
        <v>0</v>
      </c>
      <c r="AB492" s="13">
        <f t="shared" si="390"/>
        <v>0</v>
      </c>
      <c r="AC492" s="13">
        <f t="shared" si="391"/>
        <v>0</v>
      </c>
      <c r="AD492" s="13">
        <f t="shared" si="392"/>
        <v>0</v>
      </c>
      <c r="AE492" s="13">
        <f t="shared" si="393"/>
        <v>0</v>
      </c>
      <c r="AF492" s="13">
        <f t="shared" si="394"/>
        <v>0</v>
      </c>
      <c r="AG492" s="13">
        <f t="shared" si="395"/>
        <v>0</v>
      </c>
      <c r="AH492" s="13">
        <f t="shared" si="396"/>
        <v>0</v>
      </c>
      <c r="AI492" s="21" t="s">
        <v>629</v>
      </c>
      <c r="AJ492" s="13">
        <f t="shared" si="397"/>
        <v>0</v>
      </c>
      <c r="AK492" s="13">
        <f t="shared" si="398"/>
        <v>0</v>
      </c>
      <c r="AL492" s="13">
        <f t="shared" si="399"/>
        <v>0</v>
      </c>
      <c r="AN492" s="13">
        <v>21</v>
      </c>
      <c r="AO492" s="13">
        <f>J492*1</f>
        <v>0</v>
      </c>
      <c r="AP492" s="13">
        <f>J492*(1-1)</f>
        <v>0</v>
      </c>
      <c r="AQ492" s="32" t="s">
        <v>1231</v>
      </c>
      <c r="AV492" s="13">
        <f t="shared" si="400"/>
        <v>0</v>
      </c>
      <c r="AW492" s="13">
        <f t="shared" si="401"/>
        <v>0</v>
      </c>
      <c r="AX492" s="13">
        <f t="shared" si="402"/>
        <v>0</v>
      </c>
      <c r="AY492" s="32" t="s">
        <v>603</v>
      </c>
      <c r="AZ492" s="32" t="s">
        <v>1386</v>
      </c>
      <c r="BA492" s="21" t="s">
        <v>436</v>
      </c>
      <c r="BC492" s="13">
        <f t="shared" si="403"/>
        <v>0</v>
      </c>
      <c r="BD492" s="13">
        <f t="shared" si="404"/>
        <v>0</v>
      </c>
      <c r="BE492" s="13">
        <v>0</v>
      </c>
      <c r="BF492" s="13">
        <f>492</f>
        <v>492</v>
      </c>
      <c r="BH492" s="13">
        <f t="shared" si="405"/>
        <v>0</v>
      </c>
      <c r="BI492" s="13">
        <f t="shared" si="406"/>
        <v>0</v>
      </c>
      <c r="BJ492" s="13">
        <f t="shared" si="407"/>
        <v>0</v>
      </c>
      <c r="BK492" s="13"/>
      <c r="BL492" s="13">
        <v>18</v>
      </c>
    </row>
    <row r="493" spans="1:64" ht="15" customHeight="1">
      <c r="A493" s="11" t="s">
        <v>1355</v>
      </c>
      <c r="B493" s="48" t="s">
        <v>629</v>
      </c>
      <c r="C493" s="48" t="s">
        <v>357</v>
      </c>
      <c r="D493" s="61" t="s">
        <v>1382</v>
      </c>
      <c r="E493" s="61"/>
      <c r="F493" s="61"/>
      <c r="G493" s="61"/>
      <c r="H493" s="48" t="s">
        <v>1216</v>
      </c>
      <c r="I493" s="13">
        <v>48</v>
      </c>
      <c r="J493" s="13">
        <v>0</v>
      </c>
      <c r="K493" s="13">
        <f t="shared" si="386"/>
        <v>0</v>
      </c>
      <c r="L493" s="13">
        <f t="shared" si="387"/>
        <v>0</v>
      </c>
      <c r="M493" s="13">
        <f t="shared" si="388"/>
        <v>0</v>
      </c>
      <c r="N493" s="13">
        <v>0</v>
      </c>
      <c r="O493" s="10" t="s">
        <v>851</v>
      </c>
      <c r="Z493" s="13">
        <f t="shared" si="389"/>
        <v>0</v>
      </c>
      <c r="AB493" s="13">
        <f t="shared" si="390"/>
        <v>0</v>
      </c>
      <c r="AC493" s="13">
        <f t="shared" si="391"/>
        <v>0</v>
      </c>
      <c r="AD493" s="13">
        <f t="shared" si="392"/>
        <v>0</v>
      </c>
      <c r="AE493" s="13">
        <f t="shared" si="393"/>
        <v>0</v>
      </c>
      <c r="AF493" s="13">
        <f t="shared" si="394"/>
        <v>0</v>
      </c>
      <c r="AG493" s="13">
        <f t="shared" si="395"/>
        <v>0</v>
      </c>
      <c r="AH493" s="13">
        <f t="shared" si="396"/>
        <v>0</v>
      </c>
      <c r="AI493" s="21" t="s">
        <v>629</v>
      </c>
      <c r="AJ493" s="13">
        <f t="shared" si="397"/>
        <v>0</v>
      </c>
      <c r="AK493" s="13">
        <f t="shared" si="398"/>
        <v>0</v>
      </c>
      <c r="AL493" s="13">
        <f t="shared" si="399"/>
        <v>0</v>
      </c>
      <c r="AN493" s="13">
        <v>21</v>
      </c>
      <c r="AO493" s="13">
        <f>J493*0</f>
        <v>0</v>
      </c>
      <c r="AP493" s="13">
        <f>J493*(1-0)</f>
        <v>0</v>
      </c>
      <c r="AQ493" s="32" t="s">
        <v>1231</v>
      </c>
      <c r="AV493" s="13">
        <f t="shared" si="400"/>
        <v>0</v>
      </c>
      <c r="AW493" s="13">
        <f t="shared" si="401"/>
        <v>0</v>
      </c>
      <c r="AX493" s="13">
        <f t="shared" si="402"/>
        <v>0</v>
      </c>
      <c r="AY493" s="32" t="s">
        <v>603</v>
      </c>
      <c r="AZ493" s="32" t="s">
        <v>1386</v>
      </c>
      <c r="BA493" s="21" t="s">
        <v>436</v>
      </c>
      <c r="BC493" s="13">
        <f t="shared" si="403"/>
        <v>0</v>
      </c>
      <c r="BD493" s="13">
        <f t="shared" si="404"/>
        <v>0</v>
      </c>
      <c r="BE493" s="13">
        <v>0</v>
      </c>
      <c r="BF493" s="13">
        <f>493</f>
        <v>493</v>
      </c>
      <c r="BH493" s="13">
        <f t="shared" si="405"/>
        <v>0</v>
      </c>
      <c r="BI493" s="13">
        <f t="shared" si="406"/>
        <v>0</v>
      </c>
      <c r="BJ493" s="13">
        <f t="shared" si="407"/>
        <v>0</v>
      </c>
      <c r="BK493" s="13"/>
      <c r="BL493" s="13">
        <v>18</v>
      </c>
    </row>
    <row r="494" spans="1:64" ht="15" customHeight="1">
      <c r="A494" s="11" t="s">
        <v>121</v>
      </c>
      <c r="B494" s="48" t="s">
        <v>629</v>
      </c>
      <c r="C494" s="48" t="s">
        <v>608</v>
      </c>
      <c r="D494" s="61" t="s">
        <v>977</v>
      </c>
      <c r="E494" s="61"/>
      <c r="F494" s="61"/>
      <c r="G494" s="61"/>
      <c r="H494" s="48" t="s">
        <v>1195</v>
      </c>
      <c r="I494" s="13">
        <v>0.5</v>
      </c>
      <c r="J494" s="13">
        <v>0</v>
      </c>
      <c r="K494" s="13">
        <f t="shared" si="386"/>
        <v>0</v>
      </c>
      <c r="L494" s="13">
        <f t="shared" si="387"/>
        <v>0</v>
      </c>
      <c r="M494" s="13">
        <f t="shared" si="388"/>
        <v>0</v>
      </c>
      <c r="N494" s="13">
        <v>0.55</v>
      </c>
      <c r="O494" s="10" t="s">
        <v>851</v>
      </c>
      <c r="Z494" s="13">
        <f t="shared" si="389"/>
        <v>0</v>
      </c>
      <c r="AB494" s="13">
        <f t="shared" si="390"/>
        <v>0</v>
      </c>
      <c r="AC494" s="13">
        <f t="shared" si="391"/>
        <v>0</v>
      </c>
      <c r="AD494" s="13">
        <f t="shared" si="392"/>
        <v>0</v>
      </c>
      <c r="AE494" s="13">
        <f t="shared" si="393"/>
        <v>0</v>
      </c>
      <c r="AF494" s="13">
        <f t="shared" si="394"/>
        <v>0</v>
      </c>
      <c r="AG494" s="13">
        <f t="shared" si="395"/>
        <v>0</v>
      </c>
      <c r="AH494" s="13">
        <f t="shared" si="396"/>
        <v>0</v>
      </c>
      <c r="AI494" s="21" t="s">
        <v>629</v>
      </c>
      <c r="AJ494" s="13">
        <f t="shared" si="397"/>
        <v>0</v>
      </c>
      <c r="AK494" s="13">
        <f t="shared" si="398"/>
        <v>0</v>
      </c>
      <c r="AL494" s="13">
        <f t="shared" si="399"/>
        <v>0</v>
      </c>
      <c r="AN494" s="13">
        <v>21</v>
      </c>
      <c r="AO494" s="13">
        <f>J494*1</f>
        <v>0</v>
      </c>
      <c r="AP494" s="13">
        <f>J494*(1-1)</f>
        <v>0</v>
      </c>
      <c r="AQ494" s="32" t="s">
        <v>1231</v>
      </c>
      <c r="AV494" s="13">
        <f t="shared" si="400"/>
        <v>0</v>
      </c>
      <c r="AW494" s="13">
        <f t="shared" si="401"/>
        <v>0</v>
      </c>
      <c r="AX494" s="13">
        <f t="shared" si="402"/>
        <v>0</v>
      </c>
      <c r="AY494" s="32" t="s">
        <v>603</v>
      </c>
      <c r="AZ494" s="32" t="s">
        <v>1386</v>
      </c>
      <c r="BA494" s="21" t="s">
        <v>436</v>
      </c>
      <c r="BC494" s="13">
        <f t="shared" si="403"/>
        <v>0</v>
      </c>
      <c r="BD494" s="13">
        <f t="shared" si="404"/>
        <v>0</v>
      </c>
      <c r="BE494" s="13">
        <v>0</v>
      </c>
      <c r="BF494" s="13">
        <f>494</f>
        <v>494</v>
      </c>
      <c r="BH494" s="13">
        <f t="shared" si="405"/>
        <v>0</v>
      </c>
      <c r="BI494" s="13">
        <f t="shared" si="406"/>
        <v>0</v>
      </c>
      <c r="BJ494" s="13">
        <f t="shared" si="407"/>
        <v>0</v>
      </c>
      <c r="BK494" s="13"/>
      <c r="BL494" s="13">
        <v>18</v>
      </c>
    </row>
    <row r="495" spans="1:15" ht="13.5" customHeight="1">
      <c r="A495" s="39"/>
      <c r="C495" s="7" t="s">
        <v>106</v>
      </c>
      <c r="D495" s="74" t="s">
        <v>1187</v>
      </c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6"/>
    </row>
    <row r="496" spans="1:64" ht="15" customHeight="1">
      <c r="A496" s="11" t="s">
        <v>478</v>
      </c>
      <c r="B496" s="48" t="s">
        <v>629</v>
      </c>
      <c r="C496" s="48" t="s">
        <v>1110</v>
      </c>
      <c r="D496" s="61" t="s">
        <v>790</v>
      </c>
      <c r="E496" s="61"/>
      <c r="F496" s="61"/>
      <c r="G496" s="61"/>
      <c r="H496" s="48" t="s">
        <v>1195</v>
      </c>
      <c r="I496" s="13">
        <v>6</v>
      </c>
      <c r="J496" s="13">
        <v>0</v>
      </c>
      <c r="K496" s="13">
        <f>I496*AO496</f>
        <v>0</v>
      </c>
      <c r="L496" s="13">
        <f>I496*AP496</f>
        <v>0</v>
      </c>
      <c r="M496" s="13">
        <f>I496*J496</f>
        <v>0</v>
      </c>
      <c r="N496" s="13">
        <v>0</v>
      </c>
      <c r="O496" s="10" t="s">
        <v>851</v>
      </c>
      <c r="Z496" s="13">
        <f>IF(AQ496="5",BJ496,0)</f>
        <v>0</v>
      </c>
      <c r="AB496" s="13">
        <f>IF(AQ496="1",BH496,0)</f>
        <v>0</v>
      </c>
      <c r="AC496" s="13">
        <f>IF(AQ496="1",BI496,0)</f>
        <v>0</v>
      </c>
      <c r="AD496" s="13">
        <f>IF(AQ496="7",BH496,0)</f>
        <v>0</v>
      </c>
      <c r="AE496" s="13">
        <f>IF(AQ496="7",BI496,0)</f>
        <v>0</v>
      </c>
      <c r="AF496" s="13">
        <f>IF(AQ496="2",BH496,0)</f>
        <v>0</v>
      </c>
      <c r="AG496" s="13">
        <f>IF(AQ496="2",BI496,0)</f>
        <v>0</v>
      </c>
      <c r="AH496" s="13">
        <f>IF(AQ496="0",BJ496,0)</f>
        <v>0</v>
      </c>
      <c r="AI496" s="21" t="s">
        <v>629</v>
      </c>
      <c r="AJ496" s="13">
        <f>IF(AN496=0,M496,0)</f>
        <v>0</v>
      </c>
      <c r="AK496" s="13">
        <f>IF(AN496=15,M496,0)</f>
        <v>0</v>
      </c>
      <c r="AL496" s="13">
        <f>IF(AN496=21,M496,0)</f>
        <v>0</v>
      </c>
      <c r="AN496" s="13">
        <v>21</v>
      </c>
      <c r="AO496" s="13">
        <f>J496*0.306501547987616</f>
        <v>0</v>
      </c>
      <c r="AP496" s="13">
        <f>J496*(1-0.306501547987616)</f>
        <v>0</v>
      </c>
      <c r="AQ496" s="32" t="s">
        <v>1231</v>
      </c>
      <c r="AV496" s="13">
        <f>AW496+AX496</f>
        <v>0</v>
      </c>
      <c r="AW496" s="13">
        <f>I496*AO496</f>
        <v>0</v>
      </c>
      <c r="AX496" s="13">
        <f>I496*AP496</f>
        <v>0</v>
      </c>
      <c r="AY496" s="32" t="s">
        <v>603</v>
      </c>
      <c r="AZ496" s="32" t="s">
        <v>1386</v>
      </c>
      <c r="BA496" s="21" t="s">
        <v>436</v>
      </c>
      <c r="BC496" s="13">
        <f>AW496+AX496</f>
        <v>0</v>
      </c>
      <c r="BD496" s="13">
        <f>J496/(100-BE496)*100</f>
        <v>0</v>
      </c>
      <c r="BE496" s="13">
        <v>0</v>
      </c>
      <c r="BF496" s="13">
        <f>496</f>
        <v>496</v>
      </c>
      <c r="BH496" s="13">
        <f>I496*AO496</f>
        <v>0</v>
      </c>
      <c r="BI496" s="13">
        <f>I496*AP496</f>
        <v>0</v>
      </c>
      <c r="BJ496" s="13">
        <f>I496*J496</f>
        <v>0</v>
      </c>
      <c r="BK496" s="13"/>
      <c r="BL496" s="13">
        <v>18</v>
      </c>
    </row>
    <row r="497" spans="1:15" ht="13.5" customHeight="1">
      <c r="A497" s="39"/>
      <c r="C497" s="7" t="s">
        <v>106</v>
      </c>
      <c r="D497" s="74" t="s">
        <v>44</v>
      </c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6"/>
    </row>
    <row r="498" spans="1:64" ht="15" customHeight="1">
      <c r="A498" s="11" t="s">
        <v>34</v>
      </c>
      <c r="B498" s="48" t="s">
        <v>629</v>
      </c>
      <c r="C498" s="48" t="s">
        <v>1110</v>
      </c>
      <c r="D498" s="61" t="s">
        <v>790</v>
      </c>
      <c r="E498" s="61"/>
      <c r="F498" s="61"/>
      <c r="G498" s="61"/>
      <c r="H498" s="48" t="s">
        <v>1195</v>
      </c>
      <c r="I498" s="13">
        <v>6</v>
      </c>
      <c r="J498" s="13">
        <v>0</v>
      </c>
      <c r="K498" s="13">
        <f>I498*AO498</f>
        <v>0</v>
      </c>
      <c r="L498" s="13">
        <f>I498*AP498</f>
        <v>0</v>
      </c>
      <c r="M498" s="13">
        <f>I498*J498</f>
        <v>0</v>
      </c>
      <c r="N498" s="13">
        <v>0</v>
      </c>
      <c r="O498" s="10" t="s">
        <v>851</v>
      </c>
      <c r="Z498" s="13">
        <f>IF(AQ498="5",BJ498,0)</f>
        <v>0</v>
      </c>
      <c r="AB498" s="13">
        <f>IF(AQ498="1",BH498,0)</f>
        <v>0</v>
      </c>
      <c r="AC498" s="13">
        <f>IF(AQ498="1",BI498,0)</f>
        <v>0</v>
      </c>
      <c r="AD498" s="13">
        <f>IF(AQ498="7",BH498,0)</f>
        <v>0</v>
      </c>
      <c r="AE498" s="13">
        <f>IF(AQ498="7",BI498,0)</f>
        <v>0</v>
      </c>
      <c r="AF498" s="13">
        <f>IF(AQ498="2",BH498,0)</f>
        <v>0</v>
      </c>
      <c r="AG498" s="13">
        <f>IF(AQ498="2",BI498,0)</f>
        <v>0</v>
      </c>
      <c r="AH498" s="13">
        <f>IF(AQ498="0",BJ498,0)</f>
        <v>0</v>
      </c>
      <c r="AI498" s="21" t="s">
        <v>629</v>
      </c>
      <c r="AJ498" s="13">
        <f>IF(AN498=0,M498,0)</f>
        <v>0</v>
      </c>
      <c r="AK498" s="13">
        <f>IF(AN498=15,M498,0)</f>
        <v>0</v>
      </c>
      <c r="AL498" s="13">
        <f>IF(AN498=21,M498,0)</f>
        <v>0</v>
      </c>
      <c r="AN498" s="13">
        <v>21</v>
      </c>
      <c r="AO498" s="13">
        <f>J498*0.306501547987616</f>
        <v>0</v>
      </c>
      <c r="AP498" s="13">
        <f>J498*(1-0.306501547987616)</f>
        <v>0</v>
      </c>
      <c r="AQ498" s="32" t="s">
        <v>1231</v>
      </c>
      <c r="AV498" s="13">
        <f>AW498+AX498</f>
        <v>0</v>
      </c>
      <c r="AW498" s="13">
        <f>I498*AO498</f>
        <v>0</v>
      </c>
      <c r="AX498" s="13">
        <f>I498*AP498</f>
        <v>0</v>
      </c>
      <c r="AY498" s="32" t="s">
        <v>603</v>
      </c>
      <c r="AZ498" s="32" t="s">
        <v>1386</v>
      </c>
      <c r="BA498" s="21" t="s">
        <v>436</v>
      </c>
      <c r="BC498" s="13">
        <f>AW498+AX498</f>
        <v>0</v>
      </c>
      <c r="BD498" s="13">
        <f>J498/(100-BE498)*100</f>
        <v>0</v>
      </c>
      <c r="BE498" s="13">
        <v>0</v>
      </c>
      <c r="BF498" s="13">
        <f>498</f>
        <v>498</v>
      </c>
      <c r="BH498" s="13">
        <f>I498*AO498</f>
        <v>0</v>
      </c>
      <c r="BI498" s="13">
        <f>I498*AP498</f>
        <v>0</v>
      </c>
      <c r="BJ498" s="13">
        <f>I498*J498</f>
        <v>0</v>
      </c>
      <c r="BK498" s="13"/>
      <c r="BL498" s="13">
        <v>18</v>
      </c>
    </row>
    <row r="499" spans="1:15" ht="13.5" customHeight="1">
      <c r="A499" s="39"/>
      <c r="C499" s="7" t="s">
        <v>106</v>
      </c>
      <c r="D499" s="74" t="s">
        <v>863</v>
      </c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6"/>
    </row>
    <row r="500" spans="1:64" ht="15" customHeight="1">
      <c r="A500" s="11" t="s">
        <v>847</v>
      </c>
      <c r="B500" s="48" t="s">
        <v>629</v>
      </c>
      <c r="C500" s="48" t="s">
        <v>1110</v>
      </c>
      <c r="D500" s="61" t="s">
        <v>790</v>
      </c>
      <c r="E500" s="61"/>
      <c r="F500" s="61"/>
      <c r="G500" s="61"/>
      <c r="H500" s="48" t="s">
        <v>1195</v>
      </c>
      <c r="I500" s="13">
        <v>6</v>
      </c>
      <c r="J500" s="13">
        <v>0</v>
      </c>
      <c r="K500" s="13">
        <f>I500*AO500</f>
        <v>0</v>
      </c>
      <c r="L500" s="13">
        <f>I500*AP500</f>
        <v>0</v>
      </c>
      <c r="M500" s="13">
        <f>I500*J500</f>
        <v>0</v>
      </c>
      <c r="N500" s="13">
        <v>0</v>
      </c>
      <c r="O500" s="10" t="s">
        <v>851</v>
      </c>
      <c r="Z500" s="13">
        <f>IF(AQ500="5",BJ500,0)</f>
        <v>0</v>
      </c>
      <c r="AB500" s="13">
        <f>IF(AQ500="1",BH500,0)</f>
        <v>0</v>
      </c>
      <c r="AC500" s="13">
        <f>IF(AQ500="1",BI500,0)</f>
        <v>0</v>
      </c>
      <c r="AD500" s="13">
        <f>IF(AQ500="7",BH500,0)</f>
        <v>0</v>
      </c>
      <c r="AE500" s="13">
        <f>IF(AQ500="7",BI500,0)</f>
        <v>0</v>
      </c>
      <c r="AF500" s="13">
        <f>IF(AQ500="2",BH500,0)</f>
        <v>0</v>
      </c>
      <c r="AG500" s="13">
        <f>IF(AQ500="2",BI500,0)</f>
        <v>0</v>
      </c>
      <c r="AH500" s="13">
        <f>IF(AQ500="0",BJ500,0)</f>
        <v>0</v>
      </c>
      <c r="AI500" s="21" t="s">
        <v>629</v>
      </c>
      <c r="AJ500" s="13">
        <f>IF(AN500=0,M500,0)</f>
        <v>0</v>
      </c>
      <c r="AK500" s="13">
        <f>IF(AN500=15,M500,0)</f>
        <v>0</v>
      </c>
      <c r="AL500" s="13">
        <f>IF(AN500=21,M500,0)</f>
        <v>0</v>
      </c>
      <c r="AN500" s="13">
        <v>21</v>
      </c>
      <c r="AO500" s="13">
        <f>J500*0.306501547987616</f>
        <v>0</v>
      </c>
      <c r="AP500" s="13">
        <f>J500*(1-0.306501547987616)</f>
        <v>0</v>
      </c>
      <c r="AQ500" s="32" t="s">
        <v>1231</v>
      </c>
      <c r="AV500" s="13">
        <f>AW500+AX500</f>
        <v>0</v>
      </c>
      <c r="AW500" s="13">
        <f>I500*AO500</f>
        <v>0</v>
      </c>
      <c r="AX500" s="13">
        <f>I500*AP500</f>
        <v>0</v>
      </c>
      <c r="AY500" s="32" t="s">
        <v>603</v>
      </c>
      <c r="AZ500" s="32" t="s">
        <v>1386</v>
      </c>
      <c r="BA500" s="21" t="s">
        <v>436</v>
      </c>
      <c r="BC500" s="13">
        <f>AW500+AX500</f>
        <v>0</v>
      </c>
      <c r="BD500" s="13">
        <f>J500/(100-BE500)*100</f>
        <v>0</v>
      </c>
      <c r="BE500" s="13">
        <v>0</v>
      </c>
      <c r="BF500" s="13">
        <f>500</f>
        <v>500</v>
      </c>
      <c r="BH500" s="13">
        <f>I500*AO500</f>
        <v>0</v>
      </c>
      <c r="BI500" s="13">
        <f>I500*AP500</f>
        <v>0</v>
      </c>
      <c r="BJ500" s="13">
        <f>I500*J500</f>
        <v>0</v>
      </c>
      <c r="BK500" s="13"/>
      <c r="BL500" s="13">
        <v>18</v>
      </c>
    </row>
    <row r="501" spans="1:15" ht="13.5" customHeight="1">
      <c r="A501" s="39"/>
      <c r="C501" s="7" t="s">
        <v>106</v>
      </c>
      <c r="D501" s="74" t="s">
        <v>280</v>
      </c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6"/>
    </row>
    <row r="502" spans="1:64" ht="15" customHeight="1">
      <c r="A502" s="11" t="s">
        <v>1098</v>
      </c>
      <c r="B502" s="48" t="s">
        <v>629</v>
      </c>
      <c r="C502" s="48" t="s">
        <v>922</v>
      </c>
      <c r="D502" s="61" t="s">
        <v>99</v>
      </c>
      <c r="E502" s="61"/>
      <c r="F502" s="61"/>
      <c r="G502" s="61"/>
      <c r="H502" s="48" t="s">
        <v>1195</v>
      </c>
      <c r="I502" s="13">
        <v>24</v>
      </c>
      <c r="J502" s="13">
        <v>0</v>
      </c>
      <c r="K502" s="13">
        <f>I502*AO502</f>
        <v>0</v>
      </c>
      <c r="L502" s="13">
        <f>I502*AP502</f>
        <v>0</v>
      </c>
      <c r="M502" s="13">
        <f>I502*J502</f>
        <v>0</v>
      </c>
      <c r="N502" s="13">
        <v>0</v>
      </c>
      <c r="O502" s="10" t="s">
        <v>851</v>
      </c>
      <c r="Z502" s="13">
        <f>IF(AQ502="5",BJ502,0)</f>
        <v>0</v>
      </c>
      <c r="AB502" s="13">
        <f>IF(AQ502="1",BH502,0)</f>
        <v>0</v>
      </c>
      <c r="AC502" s="13">
        <f>IF(AQ502="1",BI502,0)</f>
        <v>0</v>
      </c>
      <c r="AD502" s="13">
        <f>IF(AQ502="7",BH502,0)</f>
        <v>0</v>
      </c>
      <c r="AE502" s="13">
        <f>IF(AQ502="7",BI502,0)</f>
        <v>0</v>
      </c>
      <c r="AF502" s="13">
        <f>IF(AQ502="2",BH502,0)</f>
        <v>0</v>
      </c>
      <c r="AG502" s="13">
        <f>IF(AQ502="2",BI502,0)</f>
        <v>0</v>
      </c>
      <c r="AH502" s="13">
        <f>IF(AQ502="0",BJ502,0)</f>
        <v>0</v>
      </c>
      <c r="AI502" s="21" t="s">
        <v>629</v>
      </c>
      <c r="AJ502" s="13">
        <f>IF(AN502=0,M502,0)</f>
        <v>0</v>
      </c>
      <c r="AK502" s="13">
        <f>IF(AN502=15,M502,0)</f>
        <v>0</v>
      </c>
      <c r="AL502" s="13">
        <f>IF(AN502=21,M502,0)</f>
        <v>0</v>
      </c>
      <c r="AN502" s="13">
        <v>21</v>
      </c>
      <c r="AO502" s="13">
        <f>J502*0</f>
        <v>0</v>
      </c>
      <c r="AP502" s="13">
        <f>J502*(1-0)</f>
        <v>0</v>
      </c>
      <c r="AQ502" s="32" t="s">
        <v>1231</v>
      </c>
      <c r="AV502" s="13">
        <f>AW502+AX502</f>
        <v>0</v>
      </c>
      <c r="AW502" s="13">
        <f>I502*AO502</f>
        <v>0</v>
      </c>
      <c r="AX502" s="13">
        <f>I502*AP502</f>
        <v>0</v>
      </c>
      <c r="AY502" s="32" t="s">
        <v>603</v>
      </c>
      <c r="AZ502" s="32" t="s">
        <v>1386</v>
      </c>
      <c r="BA502" s="21" t="s">
        <v>436</v>
      </c>
      <c r="BC502" s="13">
        <f>AW502+AX502</f>
        <v>0</v>
      </c>
      <c r="BD502" s="13">
        <f>J502/(100-BE502)*100</f>
        <v>0</v>
      </c>
      <c r="BE502" s="13">
        <v>0</v>
      </c>
      <c r="BF502" s="13">
        <f>502</f>
        <v>502</v>
      </c>
      <c r="BH502" s="13">
        <f>I502*AO502</f>
        <v>0</v>
      </c>
      <c r="BI502" s="13">
        <f>I502*AP502</f>
        <v>0</v>
      </c>
      <c r="BJ502" s="13">
        <f>I502*J502</f>
        <v>0</v>
      </c>
      <c r="BK502" s="13"/>
      <c r="BL502" s="13">
        <v>18</v>
      </c>
    </row>
    <row r="503" spans="1:64" ht="15" customHeight="1">
      <c r="A503" s="11" t="s">
        <v>243</v>
      </c>
      <c r="B503" s="48" t="s">
        <v>629</v>
      </c>
      <c r="C503" s="48" t="s">
        <v>693</v>
      </c>
      <c r="D503" s="61" t="s">
        <v>496</v>
      </c>
      <c r="E503" s="61"/>
      <c r="F503" s="61"/>
      <c r="G503" s="61"/>
      <c r="H503" s="48" t="s">
        <v>473</v>
      </c>
      <c r="I503" s="13">
        <v>30</v>
      </c>
      <c r="J503" s="13">
        <v>0</v>
      </c>
      <c r="K503" s="13">
        <f>I503*AO503</f>
        <v>0</v>
      </c>
      <c r="L503" s="13">
        <f>I503*AP503</f>
        <v>0</v>
      </c>
      <c r="M503" s="13">
        <f>I503*J503</f>
        <v>0</v>
      </c>
      <c r="N503" s="13">
        <v>0</v>
      </c>
      <c r="O503" s="10" t="s">
        <v>851</v>
      </c>
      <c r="Z503" s="13">
        <f>IF(AQ503="5",BJ503,0)</f>
        <v>0</v>
      </c>
      <c r="AB503" s="13">
        <f>IF(AQ503="1",BH503,0)</f>
        <v>0</v>
      </c>
      <c r="AC503" s="13">
        <f>IF(AQ503="1",BI503,0)</f>
        <v>0</v>
      </c>
      <c r="AD503" s="13">
        <f>IF(AQ503="7",BH503,0)</f>
        <v>0</v>
      </c>
      <c r="AE503" s="13">
        <f>IF(AQ503="7",BI503,0)</f>
        <v>0</v>
      </c>
      <c r="AF503" s="13">
        <f>IF(AQ503="2",BH503,0)</f>
        <v>0</v>
      </c>
      <c r="AG503" s="13">
        <f>IF(AQ503="2",BI503,0)</f>
        <v>0</v>
      </c>
      <c r="AH503" s="13">
        <f>IF(AQ503="0",BJ503,0)</f>
        <v>0</v>
      </c>
      <c r="AI503" s="21" t="s">
        <v>629</v>
      </c>
      <c r="AJ503" s="13">
        <f>IF(AN503=0,M503,0)</f>
        <v>0</v>
      </c>
      <c r="AK503" s="13">
        <f>IF(AN503=15,M503,0)</f>
        <v>0</v>
      </c>
      <c r="AL503" s="13">
        <f>IF(AN503=21,M503,0)</f>
        <v>0</v>
      </c>
      <c r="AN503" s="13">
        <v>21</v>
      </c>
      <c r="AO503" s="13">
        <f>J503*1</f>
        <v>0</v>
      </c>
      <c r="AP503" s="13">
        <f>J503*(1-1)</f>
        <v>0</v>
      </c>
      <c r="AQ503" s="32" t="s">
        <v>1231</v>
      </c>
      <c r="AV503" s="13">
        <f>AW503+AX503</f>
        <v>0</v>
      </c>
      <c r="AW503" s="13">
        <f>I503*AO503</f>
        <v>0</v>
      </c>
      <c r="AX503" s="13">
        <f>I503*AP503</f>
        <v>0</v>
      </c>
      <c r="AY503" s="32" t="s">
        <v>603</v>
      </c>
      <c r="AZ503" s="32" t="s">
        <v>1386</v>
      </c>
      <c r="BA503" s="21" t="s">
        <v>436</v>
      </c>
      <c r="BC503" s="13">
        <f>AW503+AX503</f>
        <v>0</v>
      </c>
      <c r="BD503" s="13">
        <f>J503/(100-BE503)*100</f>
        <v>0</v>
      </c>
      <c r="BE503" s="13">
        <v>0</v>
      </c>
      <c r="BF503" s="13">
        <f>503</f>
        <v>503</v>
      </c>
      <c r="BH503" s="13">
        <f>I503*AO503</f>
        <v>0</v>
      </c>
      <c r="BI503" s="13">
        <f>I503*AP503</f>
        <v>0</v>
      </c>
      <c r="BJ503" s="13">
        <f>I503*J503</f>
        <v>0</v>
      </c>
      <c r="BK503" s="13"/>
      <c r="BL503" s="13">
        <v>18</v>
      </c>
    </row>
    <row r="504" spans="1:64" ht="15" customHeight="1">
      <c r="A504" s="11" t="s">
        <v>1072</v>
      </c>
      <c r="B504" s="48" t="s">
        <v>629</v>
      </c>
      <c r="C504" s="48" t="s">
        <v>1110</v>
      </c>
      <c r="D504" s="61" t="s">
        <v>790</v>
      </c>
      <c r="E504" s="61"/>
      <c r="F504" s="61"/>
      <c r="G504" s="61"/>
      <c r="H504" s="48" t="s">
        <v>1195</v>
      </c>
      <c r="I504" s="13">
        <v>6</v>
      </c>
      <c r="J504" s="13">
        <v>0</v>
      </c>
      <c r="K504" s="13">
        <f>I504*AO504</f>
        <v>0</v>
      </c>
      <c r="L504" s="13">
        <f>I504*AP504</f>
        <v>0</v>
      </c>
      <c r="M504" s="13">
        <f>I504*J504</f>
        <v>0</v>
      </c>
      <c r="N504" s="13">
        <v>0</v>
      </c>
      <c r="O504" s="10" t="s">
        <v>851</v>
      </c>
      <c r="Z504" s="13">
        <f>IF(AQ504="5",BJ504,0)</f>
        <v>0</v>
      </c>
      <c r="AB504" s="13">
        <f>IF(AQ504="1",BH504,0)</f>
        <v>0</v>
      </c>
      <c r="AC504" s="13">
        <f>IF(AQ504="1",BI504,0)</f>
        <v>0</v>
      </c>
      <c r="AD504" s="13">
        <f>IF(AQ504="7",BH504,0)</f>
        <v>0</v>
      </c>
      <c r="AE504" s="13">
        <f>IF(AQ504="7",BI504,0)</f>
        <v>0</v>
      </c>
      <c r="AF504" s="13">
        <f>IF(AQ504="2",BH504,0)</f>
        <v>0</v>
      </c>
      <c r="AG504" s="13">
        <f>IF(AQ504="2",BI504,0)</f>
        <v>0</v>
      </c>
      <c r="AH504" s="13">
        <f>IF(AQ504="0",BJ504,0)</f>
        <v>0</v>
      </c>
      <c r="AI504" s="21" t="s">
        <v>629</v>
      </c>
      <c r="AJ504" s="13">
        <f>IF(AN504=0,M504,0)</f>
        <v>0</v>
      </c>
      <c r="AK504" s="13">
        <f>IF(AN504=15,M504,0)</f>
        <v>0</v>
      </c>
      <c r="AL504" s="13">
        <f>IF(AN504=21,M504,0)</f>
        <v>0</v>
      </c>
      <c r="AN504" s="13">
        <v>21</v>
      </c>
      <c r="AO504" s="13">
        <f>J504*0.306501547987616</f>
        <v>0</v>
      </c>
      <c r="AP504" s="13">
        <f>J504*(1-0.306501547987616)</f>
        <v>0</v>
      </c>
      <c r="AQ504" s="32" t="s">
        <v>1231</v>
      </c>
      <c r="AV504" s="13">
        <f>AW504+AX504</f>
        <v>0</v>
      </c>
      <c r="AW504" s="13">
        <f>I504*AO504</f>
        <v>0</v>
      </c>
      <c r="AX504" s="13">
        <f>I504*AP504</f>
        <v>0</v>
      </c>
      <c r="AY504" s="32" t="s">
        <v>603</v>
      </c>
      <c r="AZ504" s="32" t="s">
        <v>1386</v>
      </c>
      <c r="BA504" s="21" t="s">
        <v>436</v>
      </c>
      <c r="BC504" s="13">
        <f>AW504+AX504</f>
        <v>0</v>
      </c>
      <c r="BD504" s="13">
        <f>J504/(100-BE504)*100</f>
        <v>0</v>
      </c>
      <c r="BE504" s="13">
        <v>0</v>
      </c>
      <c r="BF504" s="13">
        <f>504</f>
        <v>504</v>
      </c>
      <c r="BH504" s="13">
        <f>I504*AO504</f>
        <v>0</v>
      </c>
      <c r="BI504" s="13">
        <f>I504*AP504</f>
        <v>0</v>
      </c>
      <c r="BJ504" s="13">
        <f>I504*J504</f>
        <v>0</v>
      </c>
      <c r="BK504" s="13"/>
      <c r="BL504" s="13">
        <v>18</v>
      </c>
    </row>
    <row r="505" spans="1:15" ht="13.5" customHeight="1">
      <c r="A505" s="39"/>
      <c r="C505" s="7" t="s">
        <v>106</v>
      </c>
      <c r="D505" s="74" t="s">
        <v>425</v>
      </c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6"/>
    </row>
    <row r="506" spans="1:47" ht="15" customHeight="1">
      <c r="A506" s="30" t="s">
        <v>862</v>
      </c>
      <c r="B506" s="18" t="s">
        <v>629</v>
      </c>
      <c r="C506" s="18" t="s">
        <v>879</v>
      </c>
      <c r="D506" s="73" t="s">
        <v>416</v>
      </c>
      <c r="E506" s="73"/>
      <c r="F506" s="73"/>
      <c r="G506" s="73"/>
      <c r="H506" s="15" t="s">
        <v>1148</v>
      </c>
      <c r="I506" s="15" t="s">
        <v>1148</v>
      </c>
      <c r="J506" s="15" t="s">
        <v>1148</v>
      </c>
      <c r="K506" s="56">
        <f>SUM(K507:K508)</f>
        <v>0</v>
      </c>
      <c r="L506" s="56">
        <f>SUM(L507:L508)</f>
        <v>0</v>
      </c>
      <c r="M506" s="56">
        <f>SUM(M507:M508)</f>
        <v>0</v>
      </c>
      <c r="N506" s="21" t="s">
        <v>862</v>
      </c>
      <c r="O506" s="47" t="s">
        <v>862</v>
      </c>
      <c r="AI506" s="21" t="s">
        <v>629</v>
      </c>
      <c r="AS506" s="56">
        <f>SUM(AJ507:AJ508)</f>
        <v>0</v>
      </c>
      <c r="AT506" s="56">
        <f>SUM(AK507:AK508)</f>
        <v>0</v>
      </c>
      <c r="AU506" s="56">
        <f>SUM(AL507:AL508)</f>
        <v>0</v>
      </c>
    </row>
    <row r="507" spans="1:64" ht="15" customHeight="1">
      <c r="A507" s="11" t="s">
        <v>1267</v>
      </c>
      <c r="B507" s="48" t="s">
        <v>629</v>
      </c>
      <c r="C507" s="48" t="s">
        <v>483</v>
      </c>
      <c r="D507" s="61" t="s">
        <v>1301</v>
      </c>
      <c r="E507" s="61"/>
      <c r="F507" s="61"/>
      <c r="G507" s="61"/>
      <c r="H507" s="48" t="s">
        <v>299</v>
      </c>
      <c r="I507" s="13">
        <v>48</v>
      </c>
      <c r="J507" s="13">
        <v>0</v>
      </c>
      <c r="K507" s="13">
        <f>I507*AO507</f>
        <v>0</v>
      </c>
      <c r="L507" s="13">
        <f>I507*AP507</f>
        <v>0</v>
      </c>
      <c r="M507" s="13">
        <f>I507*J507</f>
        <v>0</v>
      </c>
      <c r="N507" s="13">
        <v>0</v>
      </c>
      <c r="O507" s="10" t="s">
        <v>851</v>
      </c>
      <c r="Z507" s="13">
        <f>IF(AQ507="5",BJ507,0)</f>
        <v>0</v>
      </c>
      <c r="AB507" s="13">
        <f>IF(AQ507="1",BH507,0)</f>
        <v>0</v>
      </c>
      <c r="AC507" s="13">
        <f>IF(AQ507="1",BI507,0)</f>
        <v>0</v>
      </c>
      <c r="AD507" s="13">
        <f>IF(AQ507="7",BH507,0)</f>
        <v>0</v>
      </c>
      <c r="AE507" s="13">
        <f>IF(AQ507="7",BI507,0)</f>
        <v>0</v>
      </c>
      <c r="AF507" s="13">
        <f>IF(AQ507="2",BH507,0)</f>
        <v>0</v>
      </c>
      <c r="AG507" s="13">
        <f>IF(AQ507="2",BI507,0)</f>
        <v>0</v>
      </c>
      <c r="AH507" s="13">
        <f>IF(AQ507="0",BJ507,0)</f>
        <v>0</v>
      </c>
      <c r="AI507" s="21" t="s">
        <v>629</v>
      </c>
      <c r="AJ507" s="13">
        <f>IF(AN507=0,M507,0)</f>
        <v>0</v>
      </c>
      <c r="AK507" s="13">
        <f>IF(AN507=15,M507,0)</f>
        <v>0</v>
      </c>
      <c r="AL507" s="13">
        <f>IF(AN507=21,M507,0)</f>
        <v>0</v>
      </c>
      <c r="AN507" s="13">
        <v>21</v>
      </c>
      <c r="AO507" s="13">
        <f>J507*0</f>
        <v>0</v>
      </c>
      <c r="AP507" s="13">
        <f>J507*(1-0)</f>
        <v>0</v>
      </c>
      <c r="AQ507" s="32" t="s">
        <v>1231</v>
      </c>
      <c r="AV507" s="13">
        <f>AW507+AX507</f>
        <v>0</v>
      </c>
      <c r="AW507" s="13">
        <f>I507*AO507</f>
        <v>0</v>
      </c>
      <c r="AX507" s="13">
        <f>I507*AP507</f>
        <v>0</v>
      </c>
      <c r="AY507" s="32" t="s">
        <v>762</v>
      </c>
      <c r="AZ507" s="32" t="s">
        <v>612</v>
      </c>
      <c r="BA507" s="21" t="s">
        <v>436</v>
      </c>
      <c r="BC507" s="13">
        <f>AW507+AX507</f>
        <v>0</v>
      </c>
      <c r="BD507" s="13">
        <f>J507/(100-BE507)*100</f>
        <v>0</v>
      </c>
      <c r="BE507" s="13">
        <v>0</v>
      </c>
      <c r="BF507" s="13">
        <f>507</f>
        <v>507</v>
      </c>
      <c r="BH507" s="13">
        <f>I507*AO507</f>
        <v>0</v>
      </c>
      <c r="BI507" s="13">
        <f>I507*AP507</f>
        <v>0</v>
      </c>
      <c r="BJ507" s="13">
        <f>I507*J507</f>
        <v>0</v>
      </c>
      <c r="BK507" s="13"/>
      <c r="BL507" s="13">
        <v>21</v>
      </c>
    </row>
    <row r="508" spans="1:64" ht="15" customHeight="1">
      <c r="A508" s="11" t="s">
        <v>1005</v>
      </c>
      <c r="B508" s="48" t="s">
        <v>629</v>
      </c>
      <c r="C508" s="48" t="s">
        <v>418</v>
      </c>
      <c r="D508" s="61" t="s">
        <v>1064</v>
      </c>
      <c r="E508" s="61"/>
      <c r="F508" s="61"/>
      <c r="G508" s="61"/>
      <c r="H508" s="48" t="s">
        <v>1216</v>
      </c>
      <c r="I508" s="13">
        <v>26.5</v>
      </c>
      <c r="J508" s="13">
        <v>0</v>
      </c>
      <c r="K508" s="13">
        <f>I508*AO508</f>
        <v>0</v>
      </c>
      <c r="L508" s="13">
        <f>I508*AP508</f>
        <v>0</v>
      </c>
      <c r="M508" s="13">
        <f>I508*J508</f>
        <v>0</v>
      </c>
      <c r="N508" s="13">
        <v>4E-05</v>
      </c>
      <c r="O508" s="10" t="s">
        <v>851</v>
      </c>
      <c r="Z508" s="13">
        <f>IF(AQ508="5",BJ508,0)</f>
        <v>0</v>
      </c>
      <c r="AB508" s="13">
        <f>IF(AQ508="1",BH508,0)</f>
        <v>0</v>
      </c>
      <c r="AC508" s="13">
        <f>IF(AQ508="1",BI508,0)</f>
        <v>0</v>
      </c>
      <c r="AD508" s="13">
        <f>IF(AQ508="7",BH508,0)</f>
        <v>0</v>
      </c>
      <c r="AE508" s="13">
        <f>IF(AQ508="7",BI508,0)</f>
        <v>0</v>
      </c>
      <c r="AF508" s="13">
        <f>IF(AQ508="2",BH508,0)</f>
        <v>0</v>
      </c>
      <c r="AG508" s="13">
        <f>IF(AQ508="2",BI508,0)</f>
        <v>0</v>
      </c>
      <c r="AH508" s="13">
        <f>IF(AQ508="0",BJ508,0)</f>
        <v>0</v>
      </c>
      <c r="AI508" s="21" t="s">
        <v>629</v>
      </c>
      <c r="AJ508" s="13">
        <f>IF(AN508=0,M508,0)</f>
        <v>0</v>
      </c>
      <c r="AK508" s="13">
        <f>IF(AN508=15,M508,0)</f>
        <v>0</v>
      </c>
      <c r="AL508" s="13">
        <f>IF(AN508=21,M508,0)</f>
        <v>0</v>
      </c>
      <c r="AN508" s="13">
        <v>21</v>
      </c>
      <c r="AO508" s="13">
        <f>J508*0.0268707482993197</f>
        <v>0</v>
      </c>
      <c r="AP508" s="13">
        <f>J508*(1-0.0268707482993197)</f>
        <v>0</v>
      </c>
      <c r="AQ508" s="32" t="s">
        <v>1231</v>
      </c>
      <c r="AV508" s="13">
        <f>AW508+AX508</f>
        <v>0</v>
      </c>
      <c r="AW508" s="13">
        <f>I508*AO508</f>
        <v>0</v>
      </c>
      <c r="AX508" s="13">
        <f>I508*AP508</f>
        <v>0</v>
      </c>
      <c r="AY508" s="32" t="s">
        <v>762</v>
      </c>
      <c r="AZ508" s="32" t="s">
        <v>612</v>
      </c>
      <c r="BA508" s="21" t="s">
        <v>436</v>
      </c>
      <c r="BC508" s="13">
        <f>AW508+AX508</f>
        <v>0</v>
      </c>
      <c r="BD508" s="13">
        <f>J508/(100-BE508)*100</f>
        <v>0</v>
      </c>
      <c r="BE508" s="13">
        <v>0</v>
      </c>
      <c r="BF508" s="13">
        <f>508</f>
        <v>508</v>
      </c>
      <c r="BH508" s="13">
        <f>I508*AO508</f>
        <v>0</v>
      </c>
      <c r="BI508" s="13">
        <f>I508*AP508</f>
        <v>0</v>
      </c>
      <c r="BJ508" s="13">
        <f>I508*J508</f>
        <v>0</v>
      </c>
      <c r="BK508" s="13"/>
      <c r="BL508" s="13">
        <v>21</v>
      </c>
    </row>
    <row r="509" spans="1:47" ht="15" customHeight="1">
      <c r="A509" s="30" t="s">
        <v>862</v>
      </c>
      <c r="B509" s="18" t="s">
        <v>629</v>
      </c>
      <c r="C509" s="18" t="s">
        <v>219</v>
      </c>
      <c r="D509" s="73" t="s">
        <v>658</v>
      </c>
      <c r="E509" s="73"/>
      <c r="F509" s="73"/>
      <c r="G509" s="73"/>
      <c r="H509" s="15" t="s">
        <v>1148</v>
      </c>
      <c r="I509" s="15" t="s">
        <v>1148</v>
      </c>
      <c r="J509" s="15" t="s">
        <v>1148</v>
      </c>
      <c r="K509" s="56">
        <f>SUM(K510:K510)</f>
        <v>0</v>
      </c>
      <c r="L509" s="56">
        <f>SUM(L510:L510)</f>
        <v>0</v>
      </c>
      <c r="M509" s="56">
        <f>SUM(M510:M510)</f>
        <v>0</v>
      </c>
      <c r="N509" s="21" t="s">
        <v>862</v>
      </c>
      <c r="O509" s="47" t="s">
        <v>862</v>
      </c>
      <c r="AI509" s="21" t="s">
        <v>629</v>
      </c>
      <c r="AS509" s="56">
        <f>SUM(AJ510:AJ510)</f>
        <v>0</v>
      </c>
      <c r="AT509" s="56">
        <f>SUM(AK510:AK510)</f>
        <v>0</v>
      </c>
      <c r="AU509" s="56">
        <f>SUM(AL510:AL510)</f>
        <v>0</v>
      </c>
    </row>
    <row r="510" spans="1:64" ht="15" customHeight="1">
      <c r="A510" s="11" t="s">
        <v>420</v>
      </c>
      <c r="B510" s="48" t="s">
        <v>629</v>
      </c>
      <c r="C510" s="48" t="s">
        <v>689</v>
      </c>
      <c r="D510" s="61" t="s">
        <v>621</v>
      </c>
      <c r="E510" s="61"/>
      <c r="F510" s="61"/>
      <c r="G510" s="61"/>
      <c r="H510" s="48" t="s">
        <v>715</v>
      </c>
      <c r="I510" s="13">
        <v>10</v>
      </c>
      <c r="J510" s="13">
        <v>0</v>
      </c>
      <c r="K510" s="13">
        <f>I510*AO510</f>
        <v>0</v>
      </c>
      <c r="L510" s="13">
        <f>I510*AP510</f>
        <v>0</v>
      </c>
      <c r="M510" s="13">
        <f>I510*J510</f>
        <v>0</v>
      </c>
      <c r="N510" s="13">
        <v>0</v>
      </c>
      <c r="O510" s="10" t="s">
        <v>851</v>
      </c>
      <c r="Z510" s="13">
        <f>IF(AQ510="5",BJ510,0)</f>
        <v>0</v>
      </c>
      <c r="AB510" s="13">
        <f>IF(AQ510="1",BH510,0)</f>
        <v>0</v>
      </c>
      <c r="AC510" s="13">
        <f>IF(AQ510="1",BI510,0)</f>
        <v>0</v>
      </c>
      <c r="AD510" s="13">
        <f>IF(AQ510="7",BH510,0)</f>
        <v>0</v>
      </c>
      <c r="AE510" s="13">
        <f>IF(AQ510="7",BI510,0)</f>
        <v>0</v>
      </c>
      <c r="AF510" s="13">
        <f>IF(AQ510="2",BH510,0)</f>
        <v>0</v>
      </c>
      <c r="AG510" s="13">
        <f>IF(AQ510="2",BI510,0)</f>
        <v>0</v>
      </c>
      <c r="AH510" s="13">
        <f>IF(AQ510="0",BJ510,0)</f>
        <v>0</v>
      </c>
      <c r="AI510" s="21" t="s">
        <v>629</v>
      </c>
      <c r="AJ510" s="13">
        <f>IF(AN510=0,M510,0)</f>
        <v>0</v>
      </c>
      <c r="AK510" s="13">
        <f>IF(AN510=15,M510,0)</f>
        <v>0</v>
      </c>
      <c r="AL510" s="13">
        <f>IF(AN510=21,M510,0)</f>
        <v>0</v>
      </c>
      <c r="AN510" s="13">
        <v>21</v>
      </c>
      <c r="AO510" s="13">
        <f>J510*0</f>
        <v>0</v>
      </c>
      <c r="AP510" s="13">
        <f>J510*(1-0)</f>
        <v>0</v>
      </c>
      <c r="AQ510" s="32" t="s">
        <v>1231</v>
      </c>
      <c r="AV510" s="13">
        <f>AW510+AX510</f>
        <v>0</v>
      </c>
      <c r="AW510" s="13">
        <f>I510*AO510</f>
        <v>0</v>
      </c>
      <c r="AX510" s="13">
        <f>I510*AP510</f>
        <v>0</v>
      </c>
      <c r="AY510" s="32" t="s">
        <v>701</v>
      </c>
      <c r="AZ510" s="32" t="s">
        <v>612</v>
      </c>
      <c r="BA510" s="21" t="s">
        <v>436</v>
      </c>
      <c r="BC510" s="13">
        <f>AW510+AX510</f>
        <v>0</v>
      </c>
      <c r="BD510" s="13">
        <f>J510/(100-BE510)*100</f>
        <v>0</v>
      </c>
      <c r="BE510" s="13">
        <v>0</v>
      </c>
      <c r="BF510" s="13">
        <f>510</f>
        <v>510</v>
      </c>
      <c r="BH510" s="13">
        <f>I510*AO510</f>
        <v>0</v>
      </c>
      <c r="BI510" s="13">
        <f>I510*AP510</f>
        <v>0</v>
      </c>
      <c r="BJ510" s="13">
        <f>I510*J510</f>
        <v>0</v>
      </c>
      <c r="BK510" s="13"/>
      <c r="BL510" s="13">
        <v>231</v>
      </c>
    </row>
    <row r="511" spans="1:47" ht="15" customHeight="1">
      <c r="A511" s="30" t="s">
        <v>862</v>
      </c>
      <c r="B511" s="18" t="s">
        <v>629</v>
      </c>
      <c r="C511" s="18" t="s">
        <v>1308</v>
      </c>
      <c r="D511" s="73" t="s">
        <v>805</v>
      </c>
      <c r="E511" s="73"/>
      <c r="F511" s="73"/>
      <c r="G511" s="73"/>
      <c r="H511" s="15" t="s">
        <v>1148</v>
      </c>
      <c r="I511" s="15" t="s">
        <v>1148</v>
      </c>
      <c r="J511" s="15" t="s">
        <v>1148</v>
      </c>
      <c r="K511" s="56">
        <f>SUM(K512:K512)</f>
        <v>0</v>
      </c>
      <c r="L511" s="56">
        <f>SUM(L512:L512)</f>
        <v>0</v>
      </c>
      <c r="M511" s="56">
        <f>SUM(M512:M512)</f>
        <v>0</v>
      </c>
      <c r="N511" s="21" t="s">
        <v>862</v>
      </c>
      <c r="O511" s="47" t="s">
        <v>862</v>
      </c>
      <c r="AI511" s="21" t="s">
        <v>629</v>
      </c>
      <c r="AS511" s="56">
        <f>SUM(AJ512:AJ512)</f>
        <v>0</v>
      </c>
      <c r="AT511" s="56">
        <f>SUM(AK512:AK512)</f>
        <v>0</v>
      </c>
      <c r="AU511" s="56">
        <f>SUM(AL512:AL512)</f>
        <v>0</v>
      </c>
    </row>
    <row r="512" spans="1:64" ht="15" customHeight="1">
      <c r="A512" s="11" t="s">
        <v>1159</v>
      </c>
      <c r="B512" s="48" t="s">
        <v>629</v>
      </c>
      <c r="C512" s="48" t="s">
        <v>110</v>
      </c>
      <c r="D512" s="61" t="s">
        <v>1235</v>
      </c>
      <c r="E512" s="61"/>
      <c r="F512" s="61"/>
      <c r="G512" s="61"/>
      <c r="H512" s="48" t="s">
        <v>299</v>
      </c>
      <c r="I512" s="13">
        <v>3</v>
      </c>
      <c r="J512" s="13">
        <v>0</v>
      </c>
      <c r="K512" s="13">
        <f>I512*AO512</f>
        <v>0</v>
      </c>
      <c r="L512" s="13">
        <f>I512*AP512</f>
        <v>0</v>
      </c>
      <c r="M512" s="13">
        <f>I512*J512</f>
        <v>0</v>
      </c>
      <c r="N512" s="13">
        <v>0.09436</v>
      </c>
      <c r="O512" s="10" t="s">
        <v>851</v>
      </c>
      <c r="Z512" s="13">
        <f>IF(AQ512="5",BJ512,0)</f>
        <v>0</v>
      </c>
      <c r="AB512" s="13">
        <f>IF(AQ512="1",BH512,0)</f>
        <v>0</v>
      </c>
      <c r="AC512" s="13">
        <f>IF(AQ512="1",BI512,0)</f>
        <v>0</v>
      </c>
      <c r="AD512" s="13">
        <f>IF(AQ512="7",BH512,0)</f>
        <v>0</v>
      </c>
      <c r="AE512" s="13">
        <f>IF(AQ512="7",BI512,0)</f>
        <v>0</v>
      </c>
      <c r="AF512" s="13">
        <f>IF(AQ512="2",BH512,0)</f>
        <v>0</v>
      </c>
      <c r="AG512" s="13">
        <f>IF(AQ512="2",BI512,0)</f>
        <v>0</v>
      </c>
      <c r="AH512" s="13">
        <f>IF(AQ512="0",BJ512,0)</f>
        <v>0</v>
      </c>
      <c r="AI512" s="21" t="s">
        <v>629</v>
      </c>
      <c r="AJ512" s="13">
        <f>IF(AN512=0,M512,0)</f>
        <v>0</v>
      </c>
      <c r="AK512" s="13">
        <f>IF(AN512=15,M512,0)</f>
        <v>0</v>
      </c>
      <c r="AL512" s="13">
        <f>IF(AN512=21,M512,0)</f>
        <v>0</v>
      </c>
      <c r="AN512" s="13">
        <v>21</v>
      </c>
      <c r="AO512" s="13">
        <f>J512*0.774077368421053</f>
        <v>0</v>
      </c>
      <c r="AP512" s="13">
        <f>J512*(1-0.774077368421053)</f>
        <v>0</v>
      </c>
      <c r="AQ512" s="32" t="s">
        <v>1231</v>
      </c>
      <c r="AV512" s="13">
        <f>AW512+AX512</f>
        <v>0</v>
      </c>
      <c r="AW512" s="13">
        <f>I512*AO512</f>
        <v>0</v>
      </c>
      <c r="AX512" s="13">
        <f>I512*AP512</f>
        <v>0</v>
      </c>
      <c r="AY512" s="32" t="s">
        <v>98</v>
      </c>
      <c r="AZ512" s="32" t="s">
        <v>323</v>
      </c>
      <c r="BA512" s="21" t="s">
        <v>436</v>
      </c>
      <c r="BC512" s="13">
        <f>AW512+AX512</f>
        <v>0</v>
      </c>
      <c r="BD512" s="13">
        <f>J512/(100-BE512)*100</f>
        <v>0</v>
      </c>
      <c r="BE512" s="13">
        <v>0</v>
      </c>
      <c r="BF512" s="13">
        <f>512</f>
        <v>512</v>
      </c>
      <c r="BH512" s="13">
        <f>I512*AO512</f>
        <v>0</v>
      </c>
      <c r="BI512" s="13">
        <f>I512*AP512</f>
        <v>0</v>
      </c>
      <c r="BJ512" s="13">
        <f>I512*J512</f>
        <v>0</v>
      </c>
      <c r="BK512" s="13"/>
      <c r="BL512" s="13">
        <v>89</v>
      </c>
    </row>
    <row r="513" spans="1:15" ht="27" customHeight="1">
      <c r="A513" s="39"/>
      <c r="C513" s="7" t="s">
        <v>106</v>
      </c>
      <c r="D513" s="74" t="s">
        <v>24</v>
      </c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6"/>
    </row>
    <row r="514" spans="1:47" ht="15" customHeight="1">
      <c r="A514" s="30" t="s">
        <v>862</v>
      </c>
      <c r="B514" s="18" t="s">
        <v>629</v>
      </c>
      <c r="C514" s="18" t="s">
        <v>912</v>
      </c>
      <c r="D514" s="73" t="s">
        <v>132</v>
      </c>
      <c r="E514" s="73"/>
      <c r="F514" s="73"/>
      <c r="G514" s="73"/>
      <c r="H514" s="15" t="s">
        <v>1148</v>
      </c>
      <c r="I514" s="15" t="s">
        <v>1148</v>
      </c>
      <c r="J514" s="15" t="s">
        <v>1148</v>
      </c>
      <c r="K514" s="56">
        <f>SUM(K515:K515)</f>
        <v>0</v>
      </c>
      <c r="L514" s="56">
        <f>SUM(L515:L515)</f>
        <v>0</v>
      </c>
      <c r="M514" s="56">
        <f>SUM(M515:M515)</f>
        <v>0</v>
      </c>
      <c r="N514" s="21" t="s">
        <v>862</v>
      </c>
      <c r="O514" s="47" t="s">
        <v>862</v>
      </c>
      <c r="AI514" s="21" t="s">
        <v>629</v>
      </c>
      <c r="AS514" s="56">
        <f>SUM(AJ515:AJ515)</f>
        <v>0</v>
      </c>
      <c r="AT514" s="56">
        <f>SUM(AK515:AK515)</f>
        <v>0</v>
      </c>
      <c r="AU514" s="56">
        <f>SUM(AL515:AL515)</f>
        <v>0</v>
      </c>
    </row>
    <row r="515" spans="1:64" ht="15" customHeight="1">
      <c r="A515" s="11" t="s">
        <v>1097</v>
      </c>
      <c r="B515" s="48" t="s">
        <v>629</v>
      </c>
      <c r="C515" s="48" t="s">
        <v>1191</v>
      </c>
      <c r="D515" s="61" t="s">
        <v>768</v>
      </c>
      <c r="E515" s="61"/>
      <c r="F515" s="61"/>
      <c r="G515" s="61"/>
      <c r="H515" s="48" t="s">
        <v>553</v>
      </c>
      <c r="I515" s="13">
        <v>23.86</v>
      </c>
      <c r="J515" s="13">
        <v>0</v>
      </c>
      <c r="K515" s="13">
        <f>I515*AO515</f>
        <v>0</v>
      </c>
      <c r="L515" s="13">
        <f>I515*AP515</f>
        <v>0</v>
      </c>
      <c r="M515" s="13">
        <f>I515*J515</f>
        <v>0</v>
      </c>
      <c r="N515" s="13">
        <v>0</v>
      </c>
      <c r="O515" s="10" t="s">
        <v>851</v>
      </c>
      <c r="Z515" s="13">
        <f>IF(AQ515="5",BJ515,0)</f>
        <v>0</v>
      </c>
      <c r="AB515" s="13">
        <f>IF(AQ515="1",BH515,0)</f>
        <v>0</v>
      </c>
      <c r="AC515" s="13">
        <f>IF(AQ515="1",BI515,0)</f>
        <v>0</v>
      </c>
      <c r="AD515" s="13">
        <f>IF(AQ515="7",BH515,0)</f>
        <v>0</v>
      </c>
      <c r="AE515" s="13">
        <f>IF(AQ515="7",BI515,0)</f>
        <v>0</v>
      </c>
      <c r="AF515" s="13">
        <f>IF(AQ515="2",BH515,0)</f>
        <v>0</v>
      </c>
      <c r="AG515" s="13">
        <f>IF(AQ515="2",BI515,0)</f>
        <v>0</v>
      </c>
      <c r="AH515" s="13">
        <f>IF(AQ515="0",BJ515,0)</f>
        <v>0</v>
      </c>
      <c r="AI515" s="21" t="s">
        <v>629</v>
      </c>
      <c r="AJ515" s="13">
        <f>IF(AN515=0,M515,0)</f>
        <v>0</v>
      </c>
      <c r="AK515" s="13">
        <f>IF(AN515=15,M515,0)</f>
        <v>0</v>
      </c>
      <c r="AL515" s="13">
        <f>IF(AN515=21,M515,0)</f>
        <v>0</v>
      </c>
      <c r="AN515" s="13">
        <v>21</v>
      </c>
      <c r="AO515" s="13">
        <f>J515*0</f>
        <v>0</v>
      </c>
      <c r="AP515" s="13">
        <f>J515*(1-0)</f>
        <v>0</v>
      </c>
      <c r="AQ515" s="32" t="s">
        <v>654</v>
      </c>
      <c r="AV515" s="13">
        <f>AW515+AX515</f>
        <v>0</v>
      </c>
      <c r="AW515" s="13">
        <f>I515*AO515</f>
        <v>0</v>
      </c>
      <c r="AX515" s="13">
        <f>I515*AP515</f>
        <v>0</v>
      </c>
      <c r="AY515" s="32" t="s">
        <v>210</v>
      </c>
      <c r="AZ515" s="32" t="s">
        <v>77</v>
      </c>
      <c r="BA515" s="21" t="s">
        <v>436</v>
      </c>
      <c r="BC515" s="13">
        <f>AW515+AX515</f>
        <v>0</v>
      </c>
      <c r="BD515" s="13">
        <f>J515/(100-BE515)*100</f>
        <v>0</v>
      </c>
      <c r="BE515" s="13">
        <v>0</v>
      </c>
      <c r="BF515" s="13">
        <f>515</f>
        <v>515</v>
      </c>
      <c r="BH515" s="13">
        <f>I515*AO515</f>
        <v>0</v>
      </c>
      <c r="BI515" s="13">
        <f>I515*AP515</f>
        <v>0</v>
      </c>
      <c r="BJ515" s="13">
        <f>I515*J515</f>
        <v>0</v>
      </c>
      <c r="BK515" s="13"/>
      <c r="BL515" s="13"/>
    </row>
    <row r="516" spans="1:47" ht="15" customHeight="1">
      <c r="A516" s="30" t="s">
        <v>862</v>
      </c>
      <c r="B516" s="18" t="s">
        <v>629</v>
      </c>
      <c r="C516" s="18" t="s">
        <v>726</v>
      </c>
      <c r="D516" s="73" t="s">
        <v>772</v>
      </c>
      <c r="E516" s="73"/>
      <c r="F516" s="73"/>
      <c r="G516" s="73"/>
      <c r="H516" s="15" t="s">
        <v>1148</v>
      </c>
      <c r="I516" s="15" t="s">
        <v>1148</v>
      </c>
      <c r="J516" s="15" t="s">
        <v>1148</v>
      </c>
      <c r="K516" s="56">
        <f>SUM(K517:K517)</f>
        <v>0</v>
      </c>
      <c r="L516" s="56">
        <f>SUM(L517:L517)</f>
        <v>0</v>
      </c>
      <c r="M516" s="56">
        <f>SUM(M517:M517)</f>
        <v>0</v>
      </c>
      <c r="N516" s="21" t="s">
        <v>862</v>
      </c>
      <c r="O516" s="47" t="s">
        <v>862</v>
      </c>
      <c r="AI516" s="21" t="s">
        <v>629</v>
      </c>
      <c r="AS516" s="56">
        <f>SUM(AJ517:AJ517)</f>
        <v>0</v>
      </c>
      <c r="AT516" s="56">
        <f>SUM(AK517:AK517)</f>
        <v>0</v>
      </c>
      <c r="AU516" s="56">
        <f>SUM(AL517:AL517)</f>
        <v>0</v>
      </c>
    </row>
    <row r="517" spans="1:64" ht="15" customHeight="1">
      <c r="A517" s="11" t="s">
        <v>412</v>
      </c>
      <c r="B517" s="48" t="s">
        <v>629</v>
      </c>
      <c r="C517" s="48" t="s">
        <v>136</v>
      </c>
      <c r="D517" s="61" t="s">
        <v>146</v>
      </c>
      <c r="E517" s="61"/>
      <c r="F517" s="61"/>
      <c r="G517" s="61"/>
      <c r="H517" s="48" t="s">
        <v>1216</v>
      </c>
      <c r="I517" s="13">
        <v>205</v>
      </c>
      <c r="J517" s="13">
        <v>0</v>
      </c>
      <c r="K517" s="13">
        <f>I517*AO517</f>
        <v>0</v>
      </c>
      <c r="L517" s="13">
        <f>I517*AP517</f>
        <v>0</v>
      </c>
      <c r="M517" s="13">
        <f>I517*J517</f>
        <v>0</v>
      </c>
      <c r="N517" s="13">
        <v>0</v>
      </c>
      <c r="O517" s="10" t="s">
        <v>851</v>
      </c>
      <c r="Z517" s="13">
        <f>IF(AQ517="5",BJ517,0)</f>
        <v>0</v>
      </c>
      <c r="AB517" s="13">
        <f>IF(AQ517="1",BH517,0)</f>
        <v>0</v>
      </c>
      <c r="AC517" s="13">
        <f>IF(AQ517="1",BI517,0)</f>
        <v>0</v>
      </c>
      <c r="AD517" s="13">
        <f>IF(AQ517="7",BH517,0)</f>
        <v>0</v>
      </c>
      <c r="AE517" s="13">
        <f>IF(AQ517="7",BI517,0)</f>
        <v>0</v>
      </c>
      <c r="AF517" s="13">
        <f>IF(AQ517="2",BH517,0)</f>
        <v>0</v>
      </c>
      <c r="AG517" s="13">
        <f>IF(AQ517="2",BI517,0)</f>
        <v>0</v>
      </c>
      <c r="AH517" s="13">
        <f>IF(AQ517="0",BJ517,0)</f>
        <v>0</v>
      </c>
      <c r="AI517" s="21" t="s">
        <v>629</v>
      </c>
      <c r="AJ517" s="13">
        <f>IF(AN517=0,M517,0)</f>
        <v>0</v>
      </c>
      <c r="AK517" s="13">
        <f>IF(AN517=15,M517,0)</f>
        <v>0</v>
      </c>
      <c r="AL517" s="13">
        <f>IF(AN517=21,M517,0)</f>
        <v>0</v>
      </c>
      <c r="AN517" s="13">
        <v>21</v>
      </c>
      <c r="AO517" s="13">
        <f>J517*0</f>
        <v>0</v>
      </c>
      <c r="AP517" s="13">
        <f>J517*(1-0)</f>
        <v>0</v>
      </c>
      <c r="AQ517" s="32" t="s">
        <v>857</v>
      </c>
      <c r="AV517" s="13">
        <f>AW517+AX517</f>
        <v>0</v>
      </c>
      <c r="AW517" s="13">
        <f>I517*AO517</f>
        <v>0</v>
      </c>
      <c r="AX517" s="13">
        <f>I517*AP517</f>
        <v>0</v>
      </c>
      <c r="AY517" s="32" t="s">
        <v>1082</v>
      </c>
      <c r="AZ517" s="32" t="s">
        <v>77</v>
      </c>
      <c r="BA517" s="21" t="s">
        <v>436</v>
      </c>
      <c r="BC517" s="13">
        <f>AW517+AX517</f>
        <v>0</v>
      </c>
      <c r="BD517" s="13">
        <f>J517/(100-BE517)*100</f>
        <v>0</v>
      </c>
      <c r="BE517" s="13">
        <v>0</v>
      </c>
      <c r="BF517" s="13">
        <f>517</f>
        <v>517</v>
      </c>
      <c r="BH517" s="13">
        <f>I517*AO517</f>
        <v>0</v>
      </c>
      <c r="BI517" s="13">
        <f>I517*AP517</f>
        <v>0</v>
      </c>
      <c r="BJ517" s="13">
        <f>I517*J517</f>
        <v>0</v>
      </c>
      <c r="BK517" s="13"/>
      <c r="BL517" s="13"/>
    </row>
    <row r="518" spans="1:35" ht="15" customHeight="1">
      <c r="A518" s="30" t="s">
        <v>862</v>
      </c>
      <c r="B518" s="18" t="s">
        <v>629</v>
      </c>
      <c r="C518" s="18" t="s">
        <v>862</v>
      </c>
      <c r="D518" s="73" t="s">
        <v>734</v>
      </c>
      <c r="E518" s="73"/>
      <c r="F518" s="73"/>
      <c r="G518" s="73"/>
      <c r="H518" s="15" t="s">
        <v>1148</v>
      </c>
      <c r="I518" s="15" t="s">
        <v>1148</v>
      </c>
      <c r="J518" s="15" t="s">
        <v>1148</v>
      </c>
      <c r="K518" s="56">
        <f>K519</f>
        <v>0</v>
      </c>
      <c r="L518" s="56">
        <f>L519</f>
        <v>0</v>
      </c>
      <c r="M518" s="56">
        <f>M519</f>
        <v>0</v>
      </c>
      <c r="N518" s="21" t="s">
        <v>862</v>
      </c>
      <c r="O518" s="47" t="s">
        <v>862</v>
      </c>
      <c r="AI518" s="21" t="s">
        <v>629</v>
      </c>
    </row>
    <row r="519" spans="1:47" ht="15" customHeight="1">
      <c r="A519" s="30" t="s">
        <v>862</v>
      </c>
      <c r="B519" s="18" t="s">
        <v>629</v>
      </c>
      <c r="C519" s="18" t="s">
        <v>918</v>
      </c>
      <c r="D519" s="73" t="s">
        <v>569</v>
      </c>
      <c r="E519" s="73"/>
      <c r="F519" s="73"/>
      <c r="G519" s="73"/>
      <c r="H519" s="15" t="s">
        <v>1148</v>
      </c>
      <c r="I519" s="15" t="s">
        <v>1148</v>
      </c>
      <c r="J519" s="15" t="s">
        <v>1148</v>
      </c>
      <c r="K519" s="56">
        <f>SUM(K520:K520)</f>
        <v>0</v>
      </c>
      <c r="L519" s="56">
        <f>SUM(L520:L520)</f>
        <v>0</v>
      </c>
      <c r="M519" s="56">
        <f>SUM(M520:M520)</f>
        <v>0</v>
      </c>
      <c r="N519" s="21" t="s">
        <v>862</v>
      </c>
      <c r="O519" s="47" t="s">
        <v>862</v>
      </c>
      <c r="AI519" s="21" t="s">
        <v>629</v>
      </c>
      <c r="AS519" s="56">
        <f>SUM(AJ520:AJ520)</f>
        <v>0</v>
      </c>
      <c r="AT519" s="56">
        <f>SUM(AK520:AK520)</f>
        <v>0</v>
      </c>
      <c r="AU519" s="56">
        <f>SUM(AL520:AL520)</f>
        <v>0</v>
      </c>
    </row>
    <row r="520" spans="1:65" ht="15" customHeight="1">
      <c r="A520" s="11" t="s">
        <v>1046</v>
      </c>
      <c r="B520" s="48" t="s">
        <v>629</v>
      </c>
      <c r="C520" s="48" t="s">
        <v>1279</v>
      </c>
      <c r="D520" s="61" t="s">
        <v>578</v>
      </c>
      <c r="E520" s="61"/>
      <c r="F520" s="61"/>
      <c r="G520" s="61"/>
      <c r="H520" s="48" t="s">
        <v>835</v>
      </c>
      <c r="I520" s="13">
        <v>3</v>
      </c>
      <c r="J520" s="13">
        <v>0</v>
      </c>
      <c r="K520" s="13">
        <f>I520*AO520</f>
        <v>0</v>
      </c>
      <c r="L520" s="13">
        <f>I520*AP520</f>
        <v>0</v>
      </c>
      <c r="M520" s="13">
        <f>I520*J520</f>
        <v>0</v>
      </c>
      <c r="N520" s="13">
        <v>0</v>
      </c>
      <c r="O520" s="10" t="s">
        <v>851</v>
      </c>
      <c r="Z520" s="13">
        <f>IF(AQ520="5",BJ520,0)</f>
        <v>0</v>
      </c>
      <c r="AB520" s="13">
        <f>IF(AQ520="1",BH520,0)</f>
        <v>0</v>
      </c>
      <c r="AC520" s="13">
        <f>IF(AQ520="1",BI520,0)</f>
        <v>0</v>
      </c>
      <c r="AD520" s="13">
        <f>IF(AQ520="7",BH520,0)</f>
        <v>0</v>
      </c>
      <c r="AE520" s="13">
        <f>IF(AQ520="7",BI520,0)</f>
        <v>0</v>
      </c>
      <c r="AF520" s="13">
        <f>IF(AQ520="2",BH520,0)</f>
        <v>0</v>
      </c>
      <c r="AG520" s="13">
        <f>IF(AQ520="2",BI520,0)</f>
        <v>0</v>
      </c>
      <c r="AH520" s="13">
        <f>IF(AQ520="0",BJ520,0)</f>
        <v>0</v>
      </c>
      <c r="AI520" s="21" t="s">
        <v>629</v>
      </c>
      <c r="AJ520" s="13">
        <f>IF(AN520=0,M520,0)</f>
        <v>0</v>
      </c>
      <c r="AK520" s="13">
        <f>IF(AN520=15,M520,0)</f>
        <v>0</v>
      </c>
      <c r="AL520" s="13">
        <f>IF(AN520=21,M520,0)</f>
        <v>0</v>
      </c>
      <c r="AN520" s="13">
        <v>21</v>
      </c>
      <c r="AO520" s="13">
        <f>J520*0</f>
        <v>0</v>
      </c>
      <c r="AP520" s="13">
        <f>J520*(1-0)</f>
        <v>0</v>
      </c>
      <c r="AQ520" s="32" t="s">
        <v>566</v>
      </c>
      <c r="AV520" s="13">
        <f>AW520+AX520</f>
        <v>0</v>
      </c>
      <c r="AW520" s="13">
        <f>I520*AO520</f>
        <v>0</v>
      </c>
      <c r="AX520" s="13">
        <f>I520*AP520</f>
        <v>0</v>
      </c>
      <c r="AY520" s="32" t="s">
        <v>582</v>
      </c>
      <c r="AZ520" s="32" t="s">
        <v>774</v>
      </c>
      <c r="BA520" s="21" t="s">
        <v>436</v>
      </c>
      <c r="BC520" s="13">
        <f>AW520+AX520</f>
        <v>0</v>
      </c>
      <c r="BD520" s="13">
        <f>J520/(100-BE520)*100</f>
        <v>0</v>
      </c>
      <c r="BE520" s="13">
        <v>0</v>
      </c>
      <c r="BF520" s="13">
        <f>520</f>
        <v>520</v>
      </c>
      <c r="BH520" s="13">
        <f>I520*AO520</f>
        <v>0</v>
      </c>
      <c r="BI520" s="13">
        <f>I520*AP520</f>
        <v>0</v>
      </c>
      <c r="BJ520" s="13">
        <f>I520*J520</f>
        <v>0</v>
      </c>
      <c r="BK520" s="13"/>
      <c r="BL520" s="13"/>
      <c r="BM520" s="13">
        <f>I520*J520</f>
        <v>0</v>
      </c>
    </row>
    <row r="521" spans="1:15" ht="13.5" customHeight="1">
      <c r="A521" s="39"/>
      <c r="C521" s="7" t="s">
        <v>106</v>
      </c>
      <c r="D521" s="74" t="s">
        <v>148</v>
      </c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6"/>
    </row>
    <row r="522" spans="1:15" ht="15" customHeight="1">
      <c r="A522" s="30" t="s">
        <v>862</v>
      </c>
      <c r="B522" s="18" t="s">
        <v>1096</v>
      </c>
      <c r="C522" s="18" t="s">
        <v>862</v>
      </c>
      <c r="D522" s="73" t="s">
        <v>748</v>
      </c>
      <c r="E522" s="73"/>
      <c r="F522" s="73"/>
      <c r="G522" s="73"/>
      <c r="H522" s="15" t="s">
        <v>1148</v>
      </c>
      <c r="I522" s="15" t="s">
        <v>1148</v>
      </c>
      <c r="J522" s="15" t="s">
        <v>1148</v>
      </c>
      <c r="K522" s="56">
        <f>K523+K530+K532+K534+K538+K547+K557+K561+K565+K567+K573+K577+K581+K583+K586+K588</f>
        <v>0</v>
      </c>
      <c r="L522" s="56">
        <f>L523+L530+L532+L534+L538+L547+L557+L561+L565+L567+L573+L577+L581+L583+L586+L588</f>
        <v>0</v>
      </c>
      <c r="M522" s="56">
        <f>M523+M530+M532+M534+M538+M547+M557+M561+M565+M567+M573+M577+M581+M583+M586+M588</f>
        <v>0</v>
      </c>
      <c r="N522" s="21" t="s">
        <v>862</v>
      </c>
      <c r="O522" s="47" t="s">
        <v>862</v>
      </c>
    </row>
    <row r="523" spans="1:47" ht="15" customHeight="1">
      <c r="A523" s="30" t="s">
        <v>862</v>
      </c>
      <c r="B523" s="18" t="s">
        <v>1096</v>
      </c>
      <c r="C523" s="18" t="s">
        <v>1031</v>
      </c>
      <c r="D523" s="73" t="s">
        <v>675</v>
      </c>
      <c r="E523" s="73"/>
      <c r="F523" s="73"/>
      <c r="G523" s="73"/>
      <c r="H523" s="15" t="s">
        <v>1148</v>
      </c>
      <c r="I523" s="15" t="s">
        <v>1148</v>
      </c>
      <c r="J523" s="15" t="s">
        <v>1148</v>
      </c>
      <c r="K523" s="56">
        <f>SUM(K524:K529)</f>
        <v>0</v>
      </c>
      <c r="L523" s="56">
        <f>SUM(L524:L529)</f>
        <v>0</v>
      </c>
      <c r="M523" s="56">
        <f>SUM(M524:M529)</f>
        <v>0</v>
      </c>
      <c r="N523" s="21" t="s">
        <v>862</v>
      </c>
      <c r="O523" s="47" t="s">
        <v>862</v>
      </c>
      <c r="AI523" s="21" t="s">
        <v>1096</v>
      </c>
      <c r="AS523" s="56">
        <f>SUM(AJ524:AJ529)</f>
        <v>0</v>
      </c>
      <c r="AT523" s="56">
        <f>SUM(AK524:AK529)</f>
        <v>0</v>
      </c>
      <c r="AU523" s="56">
        <f>SUM(AL524:AL529)</f>
        <v>0</v>
      </c>
    </row>
    <row r="524" spans="1:64" ht="15" customHeight="1">
      <c r="A524" s="11" t="s">
        <v>138</v>
      </c>
      <c r="B524" s="48" t="s">
        <v>1096</v>
      </c>
      <c r="C524" s="48" t="s">
        <v>883</v>
      </c>
      <c r="D524" s="61" t="s">
        <v>85</v>
      </c>
      <c r="E524" s="61"/>
      <c r="F524" s="61"/>
      <c r="G524" s="61"/>
      <c r="H524" s="48" t="s">
        <v>1216</v>
      </c>
      <c r="I524" s="13">
        <v>1460</v>
      </c>
      <c r="J524" s="13">
        <v>0</v>
      </c>
      <c r="K524" s="13">
        <f>I524*AO524</f>
        <v>0</v>
      </c>
      <c r="L524" s="13">
        <f>I524*AP524</f>
        <v>0</v>
      </c>
      <c r="M524" s="13">
        <f>I524*J524</f>
        <v>0</v>
      </c>
      <c r="N524" s="13">
        <v>0</v>
      </c>
      <c r="O524" s="10" t="s">
        <v>851</v>
      </c>
      <c r="Z524" s="13">
        <f>IF(AQ524="5",BJ524,0)</f>
        <v>0</v>
      </c>
      <c r="AB524" s="13">
        <f>IF(AQ524="1",BH524,0)</f>
        <v>0</v>
      </c>
      <c r="AC524" s="13">
        <f>IF(AQ524="1",BI524,0)</f>
        <v>0</v>
      </c>
      <c r="AD524" s="13">
        <f>IF(AQ524="7",BH524,0)</f>
        <v>0</v>
      </c>
      <c r="AE524" s="13">
        <f>IF(AQ524="7",BI524,0)</f>
        <v>0</v>
      </c>
      <c r="AF524" s="13">
        <f>IF(AQ524="2",BH524,0)</f>
        <v>0</v>
      </c>
      <c r="AG524" s="13">
        <f>IF(AQ524="2",BI524,0)</f>
        <v>0</v>
      </c>
      <c r="AH524" s="13">
        <f>IF(AQ524="0",BJ524,0)</f>
        <v>0</v>
      </c>
      <c r="AI524" s="21" t="s">
        <v>1096</v>
      </c>
      <c r="AJ524" s="13">
        <f>IF(AN524=0,M524,0)</f>
        <v>0</v>
      </c>
      <c r="AK524" s="13">
        <f>IF(AN524=15,M524,0)</f>
        <v>0</v>
      </c>
      <c r="AL524" s="13">
        <f>IF(AN524=21,M524,0)</f>
        <v>0</v>
      </c>
      <c r="AN524" s="13">
        <v>21</v>
      </c>
      <c r="AO524" s="13">
        <f>J524*0</f>
        <v>0</v>
      </c>
      <c r="AP524" s="13">
        <f>J524*(1-0)</f>
        <v>0</v>
      </c>
      <c r="AQ524" s="32" t="s">
        <v>1231</v>
      </c>
      <c r="AV524" s="13">
        <f>AW524+AX524</f>
        <v>0</v>
      </c>
      <c r="AW524" s="13">
        <f>I524*AO524</f>
        <v>0</v>
      </c>
      <c r="AX524" s="13">
        <f>I524*AP524</f>
        <v>0</v>
      </c>
      <c r="AY524" s="32" t="s">
        <v>133</v>
      </c>
      <c r="AZ524" s="32" t="s">
        <v>1374</v>
      </c>
      <c r="BA524" s="21" t="s">
        <v>464</v>
      </c>
      <c r="BC524" s="13">
        <f>AW524+AX524</f>
        <v>0</v>
      </c>
      <c r="BD524" s="13">
        <f>J524/(100-BE524)*100</f>
        <v>0</v>
      </c>
      <c r="BE524" s="13">
        <v>0</v>
      </c>
      <c r="BF524" s="13">
        <f>524</f>
        <v>524</v>
      </c>
      <c r="BH524" s="13">
        <f>I524*AO524</f>
        <v>0</v>
      </c>
      <c r="BI524" s="13">
        <f>I524*AP524</f>
        <v>0</v>
      </c>
      <c r="BJ524" s="13">
        <f>I524*J524</f>
        <v>0</v>
      </c>
      <c r="BK524" s="13"/>
      <c r="BL524" s="13">
        <v>11</v>
      </c>
    </row>
    <row r="525" spans="1:64" ht="15" customHeight="1">
      <c r="A525" s="11" t="s">
        <v>368</v>
      </c>
      <c r="B525" s="48" t="s">
        <v>1096</v>
      </c>
      <c r="C525" s="48" t="s">
        <v>890</v>
      </c>
      <c r="D525" s="61" t="s">
        <v>1160</v>
      </c>
      <c r="E525" s="61"/>
      <c r="F525" s="61"/>
      <c r="G525" s="61"/>
      <c r="H525" s="48" t="s">
        <v>1018</v>
      </c>
      <c r="I525" s="13">
        <v>1580</v>
      </c>
      <c r="J525" s="13">
        <v>0</v>
      </c>
      <c r="K525" s="13">
        <f>I525*AO525</f>
        <v>0</v>
      </c>
      <c r="L525" s="13">
        <f>I525*AP525</f>
        <v>0</v>
      </c>
      <c r="M525" s="13">
        <f>I525*J525</f>
        <v>0</v>
      </c>
      <c r="N525" s="13">
        <v>0</v>
      </c>
      <c r="O525" s="10" t="s">
        <v>851</v>
      </c>
      <c r="Z525" s="13">
        <f>IF(AQ525="5",BJ525,0)</f>
        <v>0</v>
      </c>
      <c r="AB525" s="13">
        <f>IF(AQ525="1",BH525,0)</f>
        <v>0</v>
      </c>
      <c r="AC525" s="13">
        <f>IF(AQ525="1",BI525,0)</f>
        <v>0</v>
      </c>
      <c r="AD525" s="13">
        <f>IF(AQ525="7",BH525,0)</f>
        <v>0</v>
      </c>
      <c r="AE525" s="13">
        <f>IF(AQ525="7",BI525,0)</f>
        <v>0</v>
      </c>
      <c r="AF525" s="13">
        <f>IF(AQ525="2",BH525,0)</f>
        <v>0</v>
      </c>
      <c r="AG525" s="13">
        <f>IF(AQ525="2",BI525,0)</f>
        <v>0</v>
      </c>
      <c r="AH525" s="13">
        <f>IF(AQ525="0",BJ525,0)</f>
        <v>0</v>
      </c>
      <c r="AI525" s="21" t="s">
        <v>1096</v>
      </c>
      <c r="AJ525" s="13">
        <f>IF(AN525=0,M525,0)</f>
        <v>0</v>
      </c>
      <c r="AK525" s="13">
        <f>IF(AN525=15,M525,0)</f>
        <v>0</v>
      </c>
      <c r="AL525" s="13">
        <f>IF(AN525=21,M525,0)</f>
        <v>0</v>
      </c>
      <c r="AN525" s="13">
        <v>21</v>
      </c>
      <c r="AO525" s="13">
        <f>J525*0</f>
        <v>0</v>
      </c>
      <c r="AP525" s="13">
        <f>J525*(1-0)</f>
        <v>0</v>
      </c>
      <c r="AQ525" s="32" t="s">
        <v>1231</v>
      </c>
      <c r="AV525" s="13">
        <f>AW525+AX525</f>
        <v>0</v>
      </c>
      <c r="AW525" s="13">
        <f>I525*AO525</f>
        <v>0</v>
      </c>
      <c r="AX525" s="13">
        <f>I525*AP525</f>
        <v>0</v>
      </c>
      <c r="AY525" s="32" t="s">
        <v>133</v>
      </c>
      <c r="AZ525" s="32" t="s">
        <v>1374</v>
      </c>
      <c r="BA525" s="21" t="s">
        <v>464</v>
      </c>
      <c r="BC525" s="13">
        <f>AW525+AX525</f>
        <v>0</v>
      </c>
      <c r="BD525" s="13">
        <f>J525/(100-BE525)*100</f>
        <v>0</v>
      </c>
      <c r="BE525" s="13">
        <v>0</v>
      </c>
      <c r="BF525" s="13">
        <f>525</f>
        <v>525</v>
      </c>
      <c r="BH525" s="13">
        <f>I525*AO525</f>
        <v>0</v>
      </c>
      <c r="BI525" s="13">
        <f>I525*AP525</f>
        <v>0</v>
      </c>
      <c r="BJ525" s="13">
        <f>I525*J525</f>
        <v>0</v>
      </c>
      <c r="BK525" s="13"/>
      <c r="BL525" s="13">
        <v>11</v>
      </c>
    </row>
    <row r="526" spans="1:64" ht="15" customHeight="1">
      <c r="A526" s="11" t="s">
        <v>471</v>
      </c>
      <c r="B526" s="48" t="s">
        <v>1096</v>
      </c>
      <c r="C526" s="48" t="s">
        <v>504</v>
      </c>
      <c r="D526" s="61" t="s">
        <v>811</v>
      </c>
      <c r="E526" s="61"/>
      <c r="F526" s="61"/>
      <c r="G526" s="61"/>
      <c r="H526" s="48" t="s">
        <v>1216</v>
      </c>
      <c r="I526" s="13">
        <v>898</v>
      </c>
      <c r="J526" s="13">
        <v>0</v>
      </c>
      <c r="K526" s="13">
        <f>I526*AO526</f>
        <v>0</v>
      </c>
      <c r="L526" s="13">
        <f>I526*AP526</f>
        <v>0</v>
      </c>
      <c r="M526" s="13">
        <f>I526*J526</f>
        <v>0</v>
      </c>
      <c r="N526" s="13">
        <v>0</v>
      </c>
      <c r="O526" s="10" t="s">
        <v>851</v>
      </c>
      <c r="Z526" s="13">
        <f>IF(AQ526="5",BJ526,0)</f>
        <v>0</v>
      </c>
      <c r="AB526" s="13">
        <f>IF(AQ526="1",BH526,0)</f>
        <v>0</v>
      </c>
      <c r="AC526" s="13">
        <f>IF(AQ526="1",BI526,0)</f>
        <v>0</v>
      </c>
      <c r="AD526" s="13">
        <f>IF(AQ526="7",BH526,0)</f>
        <v>0</v>
      </c>
      <c r="AE526" s="13">
        <f>IF(AQ526="7",BI526,0)</f>
        <v>0</v>
      </c>
      <c r="AF526" s="13">
        <f>IF(AQ526="2",BH526,0)</f>
        <v>0</v>
      </c>
      <c r="AG526" s="13">
        <f>IF(AQ526="2",BI526,0)</f>
        <v>0</v>
      </c>
      <c r="AH526" s="13">
        <f>IF(AQ526="0",BJ526,0)</f>
        <v>0</v>
      </c>
      <c r="AI526" s="21" t="s">
        <v>1096</v>
      </c>
      <c r="AJ526" s="13">
        <f>IF(AN526=0,M526,0)</f>
        <v>0</v>
      </c>
      <c r="AK526" s="13">
        <f>IF(AN526=15,M526,0)</f>
        <v>0</v>
      </c>
      <c r="AL526" s="13">
        <f>IF(AN526=21,M526,0)</f>
        <v>0</v>
      </c>
      <c r="AN526" s="13">
        <v>21</v>
      </c>
      <c r="AO526" s="13">
        <f>J526*0.0219207592209834</f>
        <v>0</v>
      </c>
      <c r="AP526" s="13">
        <f>J526*(1-0.0219207592209834)</f>
        <v>0</v>
      </c>
      <c r="AQ526" s="32" t="s">
        <v>1231</v>
      </c>
      <c r="AV526" s="13">
        <f>AW526+AX526</f>
        <v>0</v>
      </c>
      <c r="AW526" s="13">
        <f>I526*AO526</f>
        <v>0</v>
      </c>
      <c r="AX526" s="13">
        <f>I526*AP526</f>
        <v>0</v>
      </c>
      <c r="AY526" s="32" t="s">
        <v>133</v>
      </c>
      <c r="AZ526" s="32" t="s">
        <v>1374</v>
      </c>
      <c r="BA526" s="21" t="s">
        <v>464</v>
      </c>
      <c r="BC526" s="13">
        <f>AW526+AX526</f>
        <v>0</v>
      </c>
      <c r="BD526" s="13">
        <f>J526/(100-BE526)*100</f>
        <v>0</v>
      </c>
      <c r="BE526" s="13">
        <v>0</v>
      </c>
      <c r="BF526" s="13">
        <f>526</f>
        <v>526</v>
      </c>
      <c r="BH526" s="13">
        <f>I526*AO526</f>
        <v>0</v>
      </c>
      <c r="BI526" s="13">
        <f>I526*AP526</f>
        <v>0</v>
      </c>
      <c r="BJ526" s="13">
        <f>I526*J526</f>
        <v>0</v>
      </c>
      <c r="BK526" s="13"/>
      <c r="BL526" s="13">
        <v>11</v>
      </c>
    </row>
    <row r="527" spans="1:15" ht="13.5" customHeight="1">
      <c r="A527" s="39"/>
      <c r="C527" s="7" t="s">
        <v>106</v>
      </c>
      <c r="D527" s="74" t="s">
        <v>641</v>
      </c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6"/>
    </row>
    <row r="528" spans="1:64" ht="15" customHeight="1">
      <c r="A528" s="11" t="s">
        <v>662</v>
      </c>
      <c r="B528" s="48" t="s">
        <v>1096</v>
      </c>
      <c r="C528" s="48" t="s">
        <v>1272</v>
      </c>
      <c r="D528" s="61" t="s">
        <v>870</v>
      </c>
      <c r="E528" s="61"/>
      <c r="F528" s="61"/>
      <c r="G528" s="61"/>
      <c r="H528" s="48" t="s">
        <v>1216</v>
      </c>
      <c r="I528" s="13">
        <v>1460</v>
      </c>
      <c r="J528" s="13">
        <v>0</v>
      </c>
      <c r="K528" s="13">
        <f>I528*AO528</f>
        <v>0</v>
      </c>
      <c r="L528" s="13">
        <f>I528*AP528</f>
        <v>0</v>
      </c>
      <c r="M528" s="13">
        <f>I528*J528</f>
        <v>0</v>
      </c>
      <c r="N528" s="13">
        <v>0</v>
      </c>
      <c r="O528" s="10" t="s">
        <v>851</v>
      </c>
      <c r="Z528" s="13">
        <f>IF(AQ528="5",BJ528,0)</f>
        <v>0</v>
      </c>
      <c r="AB528" s="13">
        <f>IF(AQ528="1",BH528,0)</f>
        <v>0</v>
      </c>
      <c r="AC528" s="13">
        <f>IF(AQ528="1",BI528,0)</f>
        <v>0</v>
      </c>
      <c r="AD528" s="13">
        <f>IF(AQ528="7",BH528,0)</f>
        <v>0</v>
      </c>
      <c r="AE528" s="13">
        <f>IF(AQ528="7",BI528,0)</f>
        <v>0</v>
      </c>
      <c r="AF528" s="13">
        <f>IF(AQ528="2",BH528,0)</f>
        <v>0</v>
      </c>
      <c r="AG528" s="13">
        <f>IF(AQ528="2",BI528,0)</f>
        <v>0</v>
      </c>
      <c r="AH528" s="13">
        <f>IF(AQ528="0",BJ528,0)</f>
        <v>0</v>
      </c>
      <c r="AI528" s="21" t="s">
        <v>1096</v>
      </c>
      <c r="AJ528" s="13">
        <f>IF(AN528=0,M528,0)</f>
        <v>0</v>
      </c>
      <c r="AK528" s="13">
        <f>IF(AN528=15,M528,0)</f>
        <v>0</v>
      </c>
      <c r="AL528" s="13">
        <f>IF(AN528=21,M528,0)</f>
        <v>0</v>
      </c>
      <c r="AN528" s="13">
        <v>21</v>
      </c>
      <c r="AO528" s="13">
        <f>J528*0</f>
        <v>0</v>
      </c>
      <c r="AP528" s="13">
        <f>J528*(1-0)</f>
        <v>0</v>
      </c>
      <c r="AQ528" s="32" t="s">
        <v>1231</v>
      </c>
      <c r="AV528" s="13">
        <f>AW528+AX528</f>
        <v>0</v>
      </c>
      <c r="AW528" s="13">
        <f>I528*AO528</f>
        <v>0</v>
      </c>
      <c r="AX528" s="13">
        <f>I528*AP528</f>
        <v>0</v>
      </c>
      <c r="AY528" s="32" t="s">
        <v>133</v>
      </c>
      <c r="AZ528" s="32" t="s">
        <v>1374</v>
      </c>
      <c r="BA528" s="21" t="s">
        <v>464</v>
      </c>
      <c r="BC528" s="13">
        <f>AW528+AX528</f>
        <v>0</v>
      </c>
      <c r="BD528" s="13">
        <f>J528/(100-BE528)*100</f>
        <v>0</v>
      </c>
      <c r="BE528" s="13">
        <v>0</v>
      </c>
      <c r="BF528" s="13">
        <f>528</f>
        <v>528</v>
      </c>
      <c r="BH528" s="13">
        <f>I528*AO528</f>
        <v>0</v>
      </c>
      <c r="BI528" s="13">
        <f>I528*AP528</f>
        <v>0</v>
      </c>
      <c r="BJ528" s="13">
        <f>I528*J528</f>
        <v>0</v>
      </c>
      <c r="BK528" s="13"/>
      <c r="BL528" s="13">
        <v>11</v>
      </c>
    </row>
    <row r="529" spans="1:64" ht="15" customHeight="1">
      <c r="A529" s="11" t="s">
        <v>1100</v>
      </c>
      <c r="B529" s="48" t="s">
        <v>1096</v>
      </c>
      <c r="C529" s="48" t="s">
        <v>359</v>
      </c>
      <c r="D529" s="61" t="s">
        <v>920</v>
      </c>
      <c r="E529" s="61"/>
      <c r="F529" s="61"/>
      <c r="G529" s="61"/>
      <c r="H529" s="48" t="s">
        <v>1216</v>
      </c>
      <c r="I529" s="13">
        <v>510</v>
      </c>
      <c r="J529" s="13">
        <v>0</v>
      </c>
      <c r="K529" s="13">
        <f>I529*AO529</f>
        <v>0</v>
      </c>
      <c r="L529" s="13">
        <f>I529*AP529</f>
        <v>0</v>
      </c>
      <c r="M529" s="13">
        <f>I529*J529</f>
        <v>0</v>
      </c>
      <c r="N529" s="13">
        <v>0</v>
      </c>
      <c r="O529" s="10" t="s">
        <v>851</v>
      </c>
      <c r="Z529" s="13">
        <f>IF(AQ529="5",BJ529,0)</f>
        <v>0</v>
      </c>
      <c r="AB529" s="13">
        <f>IF(AQ529="1",BH529,0)</f>
        <v>0</v>
      </c>
      <c r="AC529" s="13">
        <f>IF(AQ529="1",BI529,0)</f>
        <v>0</v>
      </c>
      <c r="AD529" s="13">
        <f>IF(AQ529="7",BH529,0)</f>
        <v>0</v>
      </c>
      <c r="AE529" s="13">
        <f>IF(AQ529="7",BI529,0)</f>
        <v>0</v>
      </c>
      <c r="AF529" s="13">
        <f>IF(AQ529="2",BH529,0)</f>
        <v>0</v>
      </c>
      <c r="AG529" s="13">
        <f>IF(AQ529="2",BI529,0)</f>
        <v>0</v>
      </c>
      <c r="AH529" s="13">
        <f>IF(AQ529="0",BJ529,0)</f>
        <v>0</v>
      </c>
      <c r="AI529" s="21" t="s">
        <v>1096</v>
      </c>
      <c r="AJ529" s="13">
        <f>IF(AN529=0,M529,0)</f>
        <v>0</v>
      </c>
      <c r="AK529" s="13">
        <f>IF(AN529=15,M529,0)</f>
        <v>0</v>
      </c>
      <c r="AL529" s="13">
        <f>IF(AN529=21,M529,0)</f>
        <v>0</v>
      </c>
      <c r="AN529" s="13">
        <v>21</v>
      </c>
      <c r="AO529" s="13">
        <f>J529*0</f>
        <v>0</v>
      </c>
      <c r="AP529" s="13">
        <f>J529*(1-0)</f>
        <v>0</v>
      </c>
      <c r="AQ529" s="32" t="s">
        <v>1231</v>
      </c>
      <c r="AV529" s="13">
        <f>AW529+AX529</f>
        <v>0</v>
      </c>
      <c r="AW529" s="13">
        <f>I529*AO529</f>
        <v>0</v>
      </c>
      <c r="AX529" s="13">
        <f>I529*AP529</f>
        <v>0</v>
      </c>
      <c r="AY529" s="32" t="s">
        <v>133</v>
      </c>
      <c r="AZ529" s="32" t="s">
        <v>1374</v>
      </c>
      <c r="BA529" s="21" t="s">
        <v>464</v>
      </c>
      <c r="BC529" s="13">
        <f>AW529+AX529</f>
        <v>0</v>
      </c>
      <c r="BD529" s="13">
        <f>J529/(100-BE529)*100</f>
        <v>0</v>
      </c>
      <c r="BE529" s="13">
        <v>0</v>
      </c>
      <c r="BF529" s="13">
        <f>529</f>
        <v>529</v>
      </c>
      <c r="BH529" s="13">
        <f>I529*AO529</f>
        <v>0</v>
      </c>
      <c r="BI529" s="13">
        <f>I529*AP529</f>
        <v>0</v>
      </c>
      <c r="BJ529" s="13">
        <f>I529*J529</f>
        <v>0</v>
      </c>
      <c r="BK529" s="13"/>
      <c r="BL529" s="13">
        <v>11</v>
      </c>
    </row>
    <row r="530" spans="1:47" ht="15" customHeight="1">
      <c r="A530" s="30" t="s">
        <v>862</v>
      </c>
      <c r="B530" s="18" t="s">
        <v>1096</v>
      </c>
      <c r="C530" s="18" t="s">
        <v>356</v>
      </c>
      <c r="D530" s="73" t="s">
        <v>11</v>
      </c>
      <c r="E530" s="73"/>
      <c r="F530" s="73"/>
      <c r="G530" s="73"/>
      <c r="H530" s="15" t="s">
        <v>1148</v>
      </c>
      <c r="I530" s="15" t="s">
        <v>1148</v>
      </c>
      <c r="J530" s="15" t="s">
        <v>1148</v>
      </c>
      <c r="K530" s="56">
        <f>SUM(K531:K531)</f>
        <v>0</v>
      </c>
      <c r="L530" s="56">
        <f>SUM(L531:L531)</f>
        <v>0</v>
      </c>
      <c r="M530" s="56">
        <f>SUM(M531:M531)</f>
        <v>0</v>
      </c>
      <c r="N530" s="21" t="s">
        <v>862</v>
      </c>
      <c r="O530" s="47" t="s">
        <v>862</v>
      </c>
      <c r="AI530" s="21" t="s">
        <v>1096</v>
      </c>
      <c r="AS530" s="56">
        <f>SUM(AJ531:AJ531)</f>
        <v>0</v>
      </c>
      <c r="AT530" s="56">
        <f>SUM(AK531:AK531)</f>
        <v>0</v>
      </c>
      <c r="AU530" s="56">
        <f>SUM(AL531:AL531)</f>
        <v>0</v>
      </c>
    </row>
    <row r="531" spans="1:64" ht="15" customHeight="1">
      <c r="A531" s="11" t="s">
        <v>454</v>
      </c>
      <c r="B531" s="48" t="s">
        <v>1096</v>
      </c>
      <c r="C531" s="48" t="s">
        <v>957</v>
      </c>
      <c r="D531" s="61" t="s">
        <v>446</v>
      </c>
      <c r="E531" s="61"/>
      <c r="F531" s="61"/>
      <c r="G531" s="61"/>
      <c r="H531" s="48" t="s">
        <v>1195</v>
      </c>
      <c r="I531" s="13">
        <v>311.5</v>
      </c>
      <c r="J531" s="13">
        <v>0</v>
      </c>
      <c r="K531" s="13">
        <f>I531*AO531</f>
        <v>0</v>
      </c>
      <c r="L531" s="13">
        <f>I531*AP531</f>
        <v>0</v>
      </c>
      <c r="M531" s="13">
        <f>I531*J531</f>
        <v>0</v>
      </c>
      <c r="N531" s="13">
        <v>0</v>
      </c>
      <c r="O531" s="10" t="s">
        <v>851</v>
      </c>
      <c r="Z531" s="13">
        <f>IF(AQ531="5",BJ531,0)</f>
        <v>0</v>
      </c>
      <c r="AB531" s="13">
        <f>IF(AQ531="1",BH531,0)</f>
        <v>0</v>
      </c>
      <c r="AC531" s="13">
        <f>IF(AQ531="1",BI531,0)</f>
        <v>0</v>
      </c>
      <c r="AD531" s="13">
        <f>IF(AQ531="7",BH531,0)</f>
        <v>0</v>
      </c>
      <c r="AE531" s="13">
        <f>IF(AQ531="7",BI531,0)</f>
        <v>0</v>
      </c>
      <c r="AF531" s="13">
        <f>IF(AQ531="2",BH531,0)</f>
        <v>0</v>
      </c>
      <c r="AG531" s="13">
        <f>IF(AQ531="2",BI531,0)</f>
        <v>0</v>
      </c>
      <c r="AH531" s="13">
        <f>IF(AQ531="0",BJ531,0)</f>
        <v>0</v>
      </c>
      <c r="AI531" s="21" t="s">
        <v>1096</v>
      </c>
      <c r="AJ531" s="13">
        <f>IF(AN531=0,M531,0)</f>
        <v>0</v>
      </c>
      <c r="AK531" s="13">
        <f>IF(AN531=15,M531,0)</f>
        <v>0</v>
      </c>
      <c r="AL531" s="13">
        <f>IF(AN531=21,M531,0)</f>
        <v>0</v>
      </c>
      <c r="AN531" s="13">
        <v>21</v>
      </c>
      <c r="AO531" s="13">
        <f>J531*0</f>
        <v>0</v>
      </c>
      <c r="AP531" s="13">
        <f>J531*(1-0)</f>
        <v>0</v>
      </c>
      <c r="AQ531" s="32" t="s">
        <v>1231</v>
      </c>
      <c r="AV531" s="13">
        <f>AW531+AX531</f>
        <v>0</v>
      </c>
      <c r="AW531" s="13">
        <f>I531*AO531</f>
        <v>0</v>
      </c>
      <c r="AX531" s="13">
        <f>I531*AP531</f>
        <v>0</v>
      </c>
      <c r="AY531" s="32" t="s">
        <v>1116</v>
      </c>
      <c r="AZ531" s="32" t="s">
        <v>1374</v>
      </c>
      <c r="BA531" s="21" t="s">
        <v>464</v>
      </c>
      <c r="BC531" s="13">
        <f>AW531+AX531</f>
        <v>0</v>
      </c>
      <c r="BD531" s="13">
        <f>J531/(100-BE531)*100</f>
        <v>0</v>
      </c>
      <c r="BE531" s="13">
        <v>0</v>
      </c>
      <c r="BF531" s="13">
        <f>531</f>
        <v>531</v>
      </c>
      <c r="BH531" s="13">
        <f>I531*AO531</f>
        <v>0</v>
      </c>
      <c r="BI531" s="13">
        <f>I531*AP531</f>
        <v>0</v>
      </c>
      <c r="BJ531" s="13">
        <f>I531*J531</f>
        <v>0</v>
      </c>
      <c r="BK531" s="13"/>
      <c r="BL531" s="13">
        <v>13</v>
      </c>
    </row>
    <row r="532" spans="1:47" ht="15" customHeight="1">
      <c r="A532" s="30" t="s">
        <v>862</v>
      </c>
      <c r="B532" s="18" t="s">
        <v>1096</v>
      </c>
      <c r="C532" s="18" t="s">
        <v>783</v>
      </c>
      <c r="D532" s="73" t="s">
        <v>1140</v>
      </c>
      <c r="E532" s="73"/>
      <c r="F532" s="73"/>
      <c r="G532" s="73"/>
      <c r="H532" s="15" t="s">
        <v>1148</v>
      </c>
      <c r="I532" s="15" t="s">
        <v>1148</v>
      </c>
      <c r="J532" s="15" t="s">
        <v>1148</v>
      </c>
      <c r="K532" s="56">
        <f>SUM(K533:K533)</f>
        <v>0</v>
      </c>
      <c r="L532" s="56">
        <f>SUM(L533:L533)</f>
        <v>0</v>
      </c>
      <c r="M532" s="56">
        <f>SUM(M533:M533)</f>
        <v>0</v>
      </c>
      <c r="N532" s="21" t="s">
        <v>862</v>
      </c>
      <c r="O532" s="47" t="s">
        <v>862</v>
      </c>
      <c r="AI532" s="21" t="s">
        <v>1096</v>
      </c>
      <c r="AS532" s="56">
        <f>SUM(AJ533:AJ533)</f>
        <v>0</v>
      </c>
      <c r="AT532" s="56">
        <f>SUM(AK533:AK533)</f>
        <v>0</v>
      </c>
      <c r="AU532" s="56">
        <f>SUM(AL533:AL533)</f>
        <v>0</v>
      </c>
    </row>
    <row r="533" spans="1:64" ht="15" customHeight="1">
      <c r="A533" s="11" t="s">
        <v>1012</v>
      </c>
      <c r="B533" s="48" t="s">
        <v>1096</v>
      </c>
      <c r="C533" s="48" t="s">
        <v>664</v>
      </c>
      <c r="D533" s="61" t="s">
        <v>1144</v>
      </c>
      <c r="E533" s="61"/>
      <c r="F533" s="61"/>
      <c r="G533" s="61"/>
      <c r="H533" s="48" t="s">
        <v>1216</v>
      </c>
      <c r="I533" s="13">
        <v>495</v>
      </c>
      <c r="J533" s="13">
        <v>0</v>
      </c>
      <c r="K533" s="13">
        <f>I533*AO533</f>
        <v>0</v>
      </c>
      <c r="L533" s="13">
        <f>I533*AP533</f>
        <v>0</v>
      </c>
      <c r="M533" s="13">
        <f>I533*J533</f>
        <v>0</v>
      </c>
      <c r="N533" s="13">
        <v>0.18463</v>
      </c>
      <c r="O533" s="10" t="s">
        <v>851</v>
      </c>
      <c r="Z533" s="13">
        <f>IF(AQ533="5",BJ533,0)</f>
        <v>0</v>
      </c>
      <c r="AB533" s="13">
        <f>IF(AQ533="1",BH533,0)</f>
        <v>0</v>
      </c>
      <c r="AC533" s="13">
        <f>IF(AQ533="1",BI533,0)</f>
        <v>0</v>
      </c>
      <c r="AD533" s="13">
        <f>IF(AQ533="7",BH533,0)</f>
        <v>0</v>
      </c>
      <c r="AE533" s="13">
        <f>IF(AQ533="7",BI533,0)</f>
        <v>0</v>
      </c>
      <c r="AF533" s="13">
        <f>IF(AQ533="2",BH533,0)</f>
        <v>0</v>
      </c>
      <c r="AG533" s="13">
        <f>IF(AQ533="2",BI533,0)</f>
        <v>0</v>
      </c>
      <c r="AH533" s="13">
        <f>IF(AQ533="0",BJ533,0)</f>
        <v>0</v>
      </c>
      <c r="AI533" s="21" t="s">
        <v>1096</v>
      </c>
      <c r="AJ533" s="13">
        <f>IF(AN533=0,M533,0)</f>
        <v>0</v>
      </c>
      <c r="AK533" s="13">
        <f>IF(AN533=15,M533,0)</f>
        <v>0</v>
      </c>
      <c r="AL533" s="13">
        <f>IF(AN533=21,M533,0)</f>
        <v>0</v>
      </c>
      <c r="AN533" s="13">
        <v>21</v>
      </c>
      <c r="AO533" s="13">
        <f>J533*0.803358925143954</f>
        <v>0</v>
      </c>
      <c r="AP533" s="13">
        <f>J533*(1-0.803358925143954)</f>
        <v>0</v>
      </c>
      <c r="AQ533" s="32" t="s">
        <v>1231</v>
      </c>
      <c r="AV533" s="13">
        <f>AW533+AX533</f>
        <v>0</v>
      </c>
      <c r="AW533" s="13">
        <f>I533*AO533</f>
        <v>0</v>
      </c>
      <c r="AX533" s="13">
        <f>I533*AP533</f>
        <v>0</v>
      </c>
      <c r="AY533" s="32" t="s">
        <v>1283</v>
      </c>
      <c r="AZ533" s="32" t="s">
        <v>1025</v>
      </c>
      <c r="BA533" s="21" t="s">
        <v>464</v>
      </c>
      <c r="BC533" s="13">
        <f>AW533+AX533</f>
        <v>0</v>
      </c>
      <c r="BD533" s="13">
        <f>J533/(100-BE533)*100</f>
        <v>0</v>
      </c>
      <c r="BE533" s="13">
        <v>0</v>
      </c>
      <c r="BF533" s="13">
        <f>533</f>
        <v>533</v>
      </c>
      <c r="BH533" s="13">
        <f>I533*AO533</f>
        <v>0</v>
      </c>
      <c r="BI533" s="13">
        <f>I533*AP533</f>
        <v>0</v>
      </c>
      <c r="BJ533" s="13">
        <f>I533*J533</f>
        <v>0</v>
      </c>
      <c r="BK533" s="13"/>
      <c r="BL533" s="13">
        <v>56</v>
      </c>
    </row>
    <row r="534" spans="1:47" ht="15" customHeight="1">
      <c r="A534" s="30" t="s">
        <v>862</v>
      </c>
      <c r="B534" s="18" t="s">
        <v>1096</v>
      </c>
      <c r="C534" s="18" t="s">
        <v>1178</v>
      </c>
      <c r="D534" s="73" t="s">
        <v>829</v>
      </c>
      <c r="E534" s="73"/>
      <c r="F534" s="73"/>
      <c r="G534" s="73"/>
      <c r="H534" s="15" t="s">
        <v>1148</v>
      </c>
      <c r="I534" s="15" t="s">
        <v>1148</v>
      </c>
      <c r="J534" s="15" t="s">
        <v>1148</v>
      </c>
      <c r="K534" s="56">
        <f>SUM(K535:K537)</f>
        <v>0</v>
      </c>
      <c r="L534" s="56">
        <f>SUM(L535:L537)</f>
        <v>0</v>
      </c>
      <c r="M534" s="56">
        <f>SUM(M535:M537)</f>
        <v>0</v>
      </c>
      <c r="N534" s="21" t="s">
        <v>862</v>
      </c>
      <c r="O534" s="47" t="s">
        <v>862</v>
      </c>
      <c r="AI534" s="21" t="s">
        <v>1096</v>
      </c>
      <c r="AS534" s="56">
        <f>SUM(AJ535:AJ537)</f>
        <v>0</v>
      </c>
      <c r="AT534" s="56">
        <f>SUM(AK535:AK537)</f>
        <v>0</v>
      </c>
      <c r="AU534" s="56">
        <f>SUM(AL535:AL537)</f>
        <v>0</v>
      </c>
    </row>
    <row r="535" spans="1:64" ht="15" customHeight="1">
      <c r="A535" s="11" t="s">
        <v>1032</v>
      </c>
      <c r="B535" s="48" t="s">
        <v>1096</v>
      </c>
      <c r="C535" s="48" t="s">
        <v>1102</v>
      </c>
      <c r="D535" s="61" t="s">
        <v>1152</v>
      </c>
      <c r="E535" s="61"/>
      <c r="F535" s="61"/>
      <c r="G535" s="61"/>
      <c r="H535" s="48" t="s">
        <v>1216</v>
      </c>
      <c r="I535" s="13">
        <v>495</v>
      </c>
      <c r="J535" s="13">
        <v>0</v>
      </c>
      <c r="K535" s="13">
        <f>I535*AO535</f>
        <v>0</v>
      </c>
      <c r="L535" s="13">
        <f>I535*AP535</f>
        <v>0</v>
      </c>
      <c r="M535" s="13">
        <f>I535*J535</f>
        <v>0</v>
      </c>
      <c r="N535" s="13">
        <v>0.00561</v>
      </c>
      <c r="O535" s="10" t="s">
        <v>851</v>
      </c>
      <c r="Z535" s="13">
        <f>IF(AQ535="5",BJ535,0)</f>
        <v>0</v>
      </c>
      <c r="AB535" s="13">
        <f>IF(AQ535="1",BH535,0)</f>
        <v>0</v>
      </c>
      <c r="AC535" s="13">
        <f>IF(AQ535="1",BI535,0)</f>
        <v>0</v>
      </c>
      <c r="AD535" s="13">
        <f>IF(AQ535="7",BH535,0)</f>
        <v>0</v>
      </c>
      <c r="AE535" s="13">
        <f>IF(AQ535="7",BI535,0)</f>
        <v>0</v>
      </c>
      <c r="AF535" s="13">
        <f>IF(AQ535="2",BH535,0)</f>
        <v>0</v>
      </c>
      <c r="AG535" s="13">
        <f>IF(AQ535="2",BI535,0)</f>
        <v>0</v>
      </c>
      <c r="AH535" s="13">
        <f>IF(AQ535="0",BJ535,0)</f>
        <v>0</v>
      </c>
      <c r="AI535" s="21" t="s">
        <v>1096</v>
      </c>
      <c r="AJ535" s="13">
        <f>IF(AN535=0,M535,0)</f>
        <v>0</v>
      </c>
      <c r="AK535" s="13">
        <f>IF(AN535=15,M535,0)</f>
        <v>0</v>
      </c>
      <c r="AL535" s="13">
        <f>IF(AN535=21,M535,0)</f>
        <v>0</v>
      </c>
      <c r="AN535" s="13">
        <v>21</v>
      </c>
      <c r="AO535" s="13">
        <f>J535*0.88329592818211</f>
        <v>0</v>
      </c>
      <c r="AP535" s="13">
        <f>J535*(1-0.88329592818211)</f>
        <v>0</v>
      </c>
      <c r="AQ535" s="32" t="s">
        <v>1231</v>
      </c>
      <c r="AV535" s="13">
        <f>AW535+AX535</f>
        <v>0</v>
      </c>
      <c r="AW535" s="13">
        <f>I535*AO535</f>
        <v>0</v>
      </c>
      <c r="AX535" s="13">
        <f>I535*AP535</f>
        <v>0</v>
      </c>
      <c r="AY535" s="32" t="s">
        <v>481</v>
      </c>
      <c r="AZ535" s="32" t="s">
        <v>1025</v>
      </c>
      <c r="BA535" s="21" t="s">
        <v>464</v>
      </c>
      <c r="BC535" s="13">
        <f>AW535+AX535</f>
        <v>0</v>
      </c>
      <c r="BD535" s="13">
        <f>J535/(100-BE535)*100</f>
        <v>0</v>
      </c>
      <c r="BE535" s="13">
        <v>0</v>
      </c>
      <c r="BF535" s="13">
        <f>535</f>
        <v>535</v>
      </c>
      <c r="BH535" s="13">
        <f>I535*AO535</f>
        <v>0</v>
      </c>
      <c r="BI535" s="13">
        <f>I535*AP535</f>
        <v>0</v>
      </c>
      <c r="BJ535" s="13">
        <f>I535*J535</f>
        <v>0</v>
      </c>
      <c r="BK535" s="13"/>
      <c r="BL535" s="13">
        <v>57</v>
      </c>
    </row>
    <row r="536" spans="1:64" ht="15" customHeight="1">
      <c r="A536" s="11" t="s">
        <v>593</v>
      </c>
      <c r="B536" s="48" t="s">
        <v>1096</v>
      </c>
      <c r="C536" s="48" t="s">
        <v>394</v>
      </c>
      <c r="D536" s="61" t="s">
        <v>1088</v>
      </c>
      <c r="E536" s="61"/>
      <c r="F536" s="61"/>
      <c r="G536" s="61"/>
      <c r="H536" s="48" t="s">
        <v>1216</v>
      </c>
      <c r="I536" s="13">
        <v>495</v>
      </c>
      <c r="J536" s="13">
        <v>0</v>
      </c>
      <c r="K536" s="13">
        <f>I536*AO536</f>
        <v>0</v>
      </c>
      <c r="L536" s="13">
        <f>I536*AP536</f>
        <v>0</v>
      </c>
      <c r="M536" s="13">
        <f>I536*J536</f>
        <v>0</v>
      </c>
      <c r="N536" s="13">
        <v>0.10373</v>
      </c>
      <c r="O536" s="10" t="s">
        <v>851</v>
      </c>
      <c r="Z536" s="13">
        <f>IF(AQ536="5",BJ536,0)</f>
        <v>0</v>
      </c>
      <c r="AB536" s="13">
        <f>IF(AQ536="1",BH536,0)</f>
        <v>0</v>
      </c>
      <c r="AC536" s="13">
        <f>IF(AQ536="1",BI536,0)</f>
        <v>0</v>
      </c>
      <c r="AD536" s="13">
        <f>IF(AQ536="7",BH536,0)</f>
        <v>0</v>
      </c>
      <c r="AE536" s="13">
        <f>IF(AQ536="7",BI536,0)</f>
        <v>0</v>
      </c>
      <c r="AF536" s="13">
        <f>IF(AQ536="2",BH536,0)</f>
        <v>0</v>
      </c>
      <c r="AG536" s="13">
        <f>IF(AQ536="2",BI536,0)</f>
        <v>0</v>
      </c>
      <c r="AH536" s="13">
        <f>IF(AQ536="0",BJ536,0)</f>
        <v>0</v>
      </c>
      <c r="AI536" s="21" t="s">
        <v>1096</v>
      </c>
      <c r="AJ536" s="13">
        <f>IF(AN536=0,M536,0)</f>
        <v>0</v>
      </c>
      <c r="AK536" s="13">
        <f>IF(AN536=15,M536,0)</f>
        <v>0</v>
      </c>
      <c r="AL536" s="13">
        <f>IF(AN536=21,M536,0)</f>
        <v>0</v>
      </c>
      <c r="AN536" s="13">
        <v>21</v>
      </c>
      <c r="AO536" s="13">
        <f>J536*0.904897196261682</f>
        <v>0</v>
      </c>
      <c r="AP536" s="13">
        <f>J536*(1-0.904897196261682)</f>
        <v>0</v>
      </c>
      <c r="AQ536" s="32" t="s">
        <v>1231</v>
      </c>
      <c r="AV536" s="13">
        <f>AW536+AX536</f>
        <v>0</v>
      </c>
      <c r="AW536" s="13">
        <f>I536*AO536</f>
        <v>0</v>
      </c>
      <c r="AX536" s="13">
        <f>I536*AP536</f>
        <v>0</v>
      </c>
      <c r="AY536" s="32" t="s">
        <v>481</v>
      </c>
      <c r="AZ536" s="32" t="s">
        <v>1025</v>
      </c>
      <c r="BA536" s="21" t="s">
        <v>464</v>
      </c>
      <c r="BC536" s="13">
        <f>AW536+AX536</f>
        <v>0</v>
      </c>
      <c r="BD536" s="13">
        <f>J536/(100-BE536)*100</f>
        <v>0</v>
      </c>
      <c r="BE536" s="13">
        <v>0</v>
      </c>
      <c r="BF536" s="13">
        <f>536</f>
        <v>536</v>
      </c>
      <c r="BH536" s="13">
        <f>I536*AO536</f>
        <v>0</v>
      </c>
      <c r="BI536" s="13">
        <f>I536*AP536</f>
        <v>0</v>
      </c>
      <c r="BJ536" s="13">
        <f>I536*J536</f>
        <v>0</v>
      </c>
      <c r="BK536" s="13"/>
      <c r="BL536" s="13">
        <v>57</v>
      </c>
    </row>
    <row r="537" spans="1:64" ht="15" customHeight="1">
      <c r="A537" s="11" t="s">
        <v>1273</v>
      </c>
      <c r="B537" s="48" t="s">
        <v>1096</v>
      </c>
      <c r="C537" s="48" t="s">
        <v>931</v>
      </c>
      <c r="D537" s="61" t="s">
        <v>381</v>
      </c>
      <c r="E537" s="61"/>
      <c r="F537" s="61"/>
      <c r="G537" s="61"/>
      <c r="H537" s="48" t="s">
        <v>1216</v>
      </c>
      <c r="I537" s="13">
        <v>495</v>
      </c>
      <c r="J537" s="13">
        <v>0</v>
      </c>
      <c r="K537" s="13">
        <f>I537*AO537</f>
        <v>0</v>
      </c>
      <c r="L537" s="13">
        <f>I537*AP537</f>
        <v>0</v>
      </c>
      <c r="M537" s="13">
        <f>I537*J537</f>
        <v>0</v>
      </c>
      <c r="N537" s="13">
        <v>0.0004</v>
      </c>
      <c r="O537" s="10" t="s">
        <v>851</v>
      </c>
      <c r="Z537" s="13">
        <f>IF(AQ537="5",BJ537,0)</f>
        <v>0</v>
      </c>
      <c r="AB537" s="13">
        <f>IF(AQ537="1",BH537,0)</f>
        <v>0</v>
      </c>
      <c r="AC537" s="13">
        <f>IF(AQ537="1",BI537,0)</f>
        <v>0</v>
      </c>
      <c r="AD537" s="13">
        <f>IF(AQ537="7",BH537,0)</f>
        <v>0</v>
      </c>
      <c r="AE537" s="13">
        <f>IF(AQ537="7",BI537,0)</f>
        <v>0</v>
      </c>
      <c r="AF537" s="13">
        <f>IF(AQ537="2",BH537,0)</f>
        <v>0</v>
      </c>
      <c r="AG537" s="13">
        <f>IF(AQ537="2",BI537,0)</f>
        <v>0</v>
      </c>
      <c r="AH537" s="13">
        <f>IF(AQ537="0",BJ537,0)</f>
        <v>0</v>
      </c>
      <c r="AI537" s="21" t="s">
        <v>1096</v>
      </c>
      <c r="AJ537" s="13">
        <f>IF(AN537=0,M537,0)</f>
        <v>0</v>
      </c>
      <c r="AK537" s="13">
        <f>IF(AN537=15,M537,0)</f>
        <v>0</v>
      </c>
      <c r="AL537" s="13">
        <f>IF(AN537=21,M537,0)</f>
        <v>0</v>
      </c>
      <c r="AN537" s="13">
        <v>21</v>
      </c>
      <c r="AO537" s="13">
        <f>J537*0.886885245901639</f>
        <v>0</v>
      </c>
      <c r="AP537" s="13">
        <f>J537*(1-0.886885245901639)</f>
        <v>0</v>
      </c>
      <c r="AQ537" s="32" t="s">
        <v>1231</v>
      </c>
      <c r="AV537" s="13">
        <f>AW537+AX537</f>
        <v>0</v>
      </c>
      <c r="AW537" s="13">
        <f>I537*AO537</f>
        <v>0</v>
      </c>
      <c r="AX537" s="13">
        <f>I537*AP537</f>
        <v>0</v>
      </c>
      <c r="AY537" s="32" t="s">
        <v>481</v>
      </c>
      <c r="AZ537" s="32" t="s">
        <v>1025</v>
      </c>
      <c r="BA537" s="21" t="s">
        <v>464</v>
      </c>
      <c r="BC537" s="13">
        <f>AW537+AX537</f>
        <v>0</v>
      </c>
      <c r="BD537" s="13">
        <f>J537/(100-BE537)*100</f>
        <v>0</v>
      </c>
      <c r="BE537" s="13">
        <v>0</v>
      </c>
      <c r="BF537" s="13">
        <f>537</f>
        <v>537</v>
      </c>
      <c r="BH537" s="13">
        <f>I537*AO537</f>
        <v>0</v>
      </c>
      <c r="BI537" s="13">
        <f>I537*AP537</f>
        <v>0</v>
      </c>
      <c r="BJ537" s="13">
        <f>I537*J537</f>
        <v>0</v>
      </c>
      <c r="BK537" s="13"/>
      <c r="BL537" s="13">
        <v>57</v>
      </c>
    </row>
    <row r="538" spans="1:47" ht="15" customHeight="1">
      <c r="A538" s="30" t="s">
        <v>862</v>
      </c>
      <c r="B538" s="18" t="s">
        <v>1096</v>
      </c>
      <c r="C538" s="18" t="s">
        <v>546</v>
      </c>
      <c r="D538" s="73" t="s">
        <v>1168</v>
      </c>
      <c r="E538" s="73"/>
      <c r="F538" s="73"/>
      <c r="G538" s="73"/>
      <c r="H538" s="15" t="s">
        <v>1148</v>
      </c>
      <c r="I538" s="15" t="s">
        <v>1148</v>
      </c>
      <c r="J538" s="15" t="s">
        <v>1148</v>
      </c>
      <c r="K538" s="56">
        <f>SUM(K539:K545)</f>
        <v>0</v>
      </c>
      <c r="L538" s="56">
        <f>SUM(L539:L545)</f>
        <v>0</v>
      </c>
      <c r="M538" s="56">
        <f>SUM(M539:M545)</f>
        <v>0</v>
      </c>
      <c r="N538" s="21" t="s">
        <v>862</v>
      </c>
      <c r="O538" s="47" t="s">
        <v>862</v>
      </c>
      <c r="AI538" s="21" t="s">
        <v>1096</v>
      </c>
      <c r="AS538" s="56">
        <f>SUM(AJ539:AJ545)</f>
        <v>0</v>
      </c>
      <c r="AT538" s="56">
        <f>SUM(AK539:AK545)</f>
        <v>0</v>
      </c>
      <c r="AU538" s="56">
        <f>SUM(AL539:AL545)</f>
        <v>0</v>
      </c>
    </row>
    <row r="539" spans="1:64" ht="15" customHeight="1">
      <c r="A539" s="11" t="s">
        <v>519</v>
      </c>
      <c r="B539" s="48" t="s">
        <v>1096</v>
      </c>
      <c r="C539" s="48" t="s">
        <v>37</v>
      </c>
      <c r="D539" s="61" t="s">
        <v>248</v>
      </c>
      <c r="E539" s="61"/>
      <c r="F539" s="61"/>
      <c r="G539" s="61"/>
      <c r="H539" s="48" t="s">
        <v>1216</v>
      </c>
      <c r="I539" s="13">
        <v>582</v>
      </c>
      <c r="J539" s="13">
        <v>0</v>
      </c>
      <c r="K539" s="13">
        <f>I539*AO539</f>
        <v>0</v>
      </c>
      <c r="L539" s="13">
        <f>I539*AP539</f>
        <v>0</v>
      </c>
      <c r="M539" s="13">
        <f>I539*J539</f>
        <v>0</v>
      </c>
      <c r="N539" s="13">
        <v>0.77654</v>
      </c>
      <c r="O539" s="10" t="s">
        <v>851</v>
      </c>
      <c r="Z539" s="13">
        <f>IF(AQ539="5",BJ539,0)</f>
        <v>0</v>
      </c>
      <c r="AB539" s="13">
        <f>IF(AQ539="1",BH539,0)</f>
        <v>0</v>
      </c>
      <c r="AC539" s="13">
        <f>IF(AQ539="1",BI539,0)</f>
        <v>0</v>
      </c>
      <c r="AD539" s="13">
        <f>IF(AQ539="7",BH539,0)</f>
        <v>0</v>
      </c>
      <c r="AE539" s="13">
        <f>IF(AQ539="7",BI539,0)</f>
        <v>0</v>
      </c>
      <c r="AF539" s="13">
        <f>IF(AQ539="2",BH539,0)</f>
        <v>0</v>
      </c>
      <c r="AG539" s="13">
        <f>IF(AQ539="2",BI539,0)</f>
        <v>0</v>
      </c>
      <c r="AH539" s="13">
        <f>IF(AQ539="0",BJ539,0)</f>
        <v>0</v>
      </c>
      <c r="AI539" s="21" t="s">
        <v>1096</v>
      </c>
      <c r="AJ539" s="13">
        <f>IF(AN539=0,M539,0)</f>
        <v>0</v>
      </c>
      <c r="AK539" s="13">
        <f>IF(AN539=15,M539,0)</f>
        <v>0</v>
      </c>
      <c r="AL539" s="13">
        <f>IF(AN539=21,M539,0)</f>
        <v>0</v>
      </c>
      <c r="AN539" s="13">
        <v>21</v>
      </c>
      <c r="AO539" s="13">
        <f>J539*0.531881896166418</f>
        <v>0</v>
      </c>
      <c r="AP539" s="13">
        <f>J539*(1-0.531881896166418)</f>
        <v>0</v>
      </c>
      <c r="AQ539" s="32" t="s">
        <v>1231</v>
      </c>
      <c r="AV539" s="13">
        <f>AW539+AX539</f>
        <v>0</v>
      </c>
      <c r="AW539" s="13">
        <f>I539*AO539</f>
        <v>0</v>
      </c>
      <c r="AX539" s="13">
        <f>I539*AP539</f>
        <v>0</v>
      </c>
      <c r="AY539" s="32" t="s">
        <v>1219</v>
      </c>
      <c r="AZ539" s="32" t="s">
        <v>1025</v>
      </c>
      <c r="BA539" s="21" t="s">
        <v>464</v>
      </c>
      <c r="BC539" s="13">
        <f>AW539+AX539</f>
        <v>0</v>
      </c>
      <c r="BD539" s="13">
        <f>J539/(100-BE539)*100</f>
        <v>0</v>
      </c>
      <c r="BE539" s="13">
        <v>0</v>
      </c>
      <c r="BF539" s="13">
        <f>539</f>
        <v>539</v>
      </c>
      <c r="BH539" s="13">
        <f>I539*AO539</f>
        <v>0</v>
      </c>
      <c r="BI539" s="13">
        <f>I539*AP539</f>
        <v>0</v>
      </c>
      <c r="BJ539" s="13">
        <f>I539*J539</f>
        <v>0</v>
      </c>
      <c r="BK539" s="13"/>
      <c r="BL539" s="13">
        <v>59</v>
      </c>
    </row>
    <row r="540" spans="1:15" ht="13.5" customHeight="1">
      <c r="A540" s="39"/>
      <c r="C540" s="7" t="s">
        <v>106</v>
      </c>
      <c r="D540" s="74" t="s">
        <v>275</v>
      </c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6"/>
    </row>
    <row r="541" spans="1:64" ht="15" customHeight="1">
      <c r="A541" s="11" t="s">
        <v>820</v>
      </c>
      <c r="B541" s="48" t="s">
        <v>1096</v>
      </c>
      <c r="C541" s="48" t="s">
        <v>208</v>
      </c>
      <c r="D541" s="61" t="s">
        <v>933</v>
      </c>
      <c r="E541" s="61"/>
      <c r="F541" s="61"/>
      <c r="G541" s="61"/>
      <c r="H541" s="48" t="s">
        <v>1216</v>
      </c>
      <c r="I541" s="13">
        <v>101</v>
      </c>
      <c r="J541" s="13">
        <v>0</v>
      </c>
      <c r="K541" s="13">
        <f>I541*AO541</f>
        <v>0</v>
      </c>
      <c r="L541" s="13">
        <f>I541*AP541</f>
        <v>0</v>
      </c>
      <c r="M541" s="13">
        <f>I541*J541</f>
        <v>0</v>
      </c>
      <c r="N541" s="13">
        <v>0.66955</v>
      </c>
      <c r="O541" s="10" t="s">
        <v>851</v>
      </c>
      <c r="Z541" s="13">
        <f>IF(AQ541="5",BJ541,0)</f>
        <v>0</v>
      </c>
      <c r="AB541" s="13">
        <f>IF(AQ541="1",BH541,0)</f>
        <v>0</v>
      </c>
      <c r="AC541" s="13">
        <f>IF(AQ541="1",BI541,0)</f>
        <v>0</v>
      </c>
      <c r="AD541" s="13">
        <f>IF(AQ541="7",BH541,0)</f>
        <v>0</v>
      </c>
      <c r="AE541" s="13">
        <f>IF(AQ541="7",BI541,0)</f>
        <v>0</v>
      </c>
      <c r="AF541" s="13">
        <f>IF(AQ541="2",BH541,0)</f>
        <v>0</v>
      </c>
      <c r="AG541" s="13">
        <f>IF(AQ541="2",BI541,0)</f>
        <v>0</v>
      </c>
      <c r="AH541" s="13">
        <f>IF(AQ541="0",BJ541,0)</f>
        <v>0</v>
      </c>
      <c r="AI541" s="21" t="s">
        <v>1096</v>
      </c>
      <c r="AJ541" s="13">
        <f>IF(AN541=0,M541,0)</f>
        <v>0</v>
      </c>
      <c r="AK541" s="13">
        <f>IF(AN541=15,M541,0)</f>
        <v>0</v>
      </c>
      <c r="AL541" s="13">
        <f>IF(AN541=21,M541,0)</f>
        <v>0</v>
      </c>
      <c r="AN541" s="13">
        <v>21</v>
      </c>
      <c r="AO541" s="13">
        <f>J541*0.53979172460678</f>
        <v>0</v>
      </c>
      <c r="AP541" s="13">
        <f>J541*(1-0.53979172460678)</f>
        <v>0</v>
      </c>
      <c r="AQ541" s="32" t="s">
        <v>1231</v>
      </c>
      <c r="AV541" s="13">
        <f>AW541+AX541</f>
        <v>0</v>
      </c>
      <c r="AW541" s="13">
        <f>I541*AO541</f>
        <v>0</v>
      </c>
      <c r="AX541" s="13">
        <f>I541*AP541</f>
        <v>0</v>
      </c>
      <c r="AY541" s="32" t="s">
        <v>1219</v>
      </c>
      <c r="AZ541" s="32" t="s">
        <v>1025</v>
      </c>
      <c r="BA541" s="21" t="s">
        <v>464</v>
      </c>
      <c r="BC541" s="13">
        <f>AW541+AX541</f>
        <v>0</v>
      </c>
      <c r="BD541" s="13">
        <f>J541/(100-BE541)*100</f>
        <v>0</v>
      </c>
      <c r="BE541" s="13">
        <v>0</v>
      </c>
      <c r="BF541" s="13">
        <f>541</f>
        <v>541</v>
      </c>
      <c r="BH541" s="13">
        <f>I541*AO541</f>
        <v>0</v>
      </c>
      <c r="BI541" s="13">
        <f>I541*AP541</f>
        <v>0</v>
      </c>
      <c r="BJ541" s="13">
        <f>I541*J541</f>
        <v>0</v>
      </c>
      <c r="BK541" s="13"/>
      <c r="BL541" s="13">
        <v>59</v>
      </c>
    </row>
    <row r="542" spans="1:15" ht="13.5" customHeight="1">
      <c r="A542" s="39"/>
      <c r="C542" s="7" t="s">
        <v>106</v>
      </c>
      <c r="D542" s="74" t="s">
        <v>988</v>
      </c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6"/>
    </row>
    <row r="543" spans="1:64" ht="15" customHeight="1">
      <c r="A543" s="11" t="s">
        <v>1174</v>
      </c>
      <c r="B543" s="48" t="s">
        <v>1096</v>
      </c>
      <c r="C543" s="48" t="s">
        <v>1030</v>
      </c>
      <c r="D543" s="61" t="s">
        <v>1092</v>
      </c>
      <c r="E543" s="61"/>
      <c r="F543" s="61"/>
      <c r="G543" s="61"/>
      <c r="H543" s="48" t="s">
        <v>1216</v>
      </c>
      <c r="I543" s="13">
        <v>79.5</v>
      </c>
      <c r="J543" s="13">
        <v>0</v>
      </c>
      <c r="K543" s="13">
        <f>I543*AO543</f>
        <v>0</v>
      </c>
      <c r="L543" s="13">
        <f>I543*AP543</f>
        <v>0</v>
      </c>
      <c r="M543" s="13">
        <f>I543*J543</f>
        <v>0</v>
      </c>
      <c r="N543" s="13">
        <v>1.01388</v>
      </c>
      <c r="O543" s="10" t="s">
        <v>851</v>
      </c>
      <c r="Z543" s="13">
        <f>IF(AQ543="5",BJ543,0)</f>
        <v>0</v>
      </c>
      <c r="AB543" s="13">
        <f>IF(AQ543="1",BH543,0)</f>
        <v>0</v>
      </c>
      <c r="AC543" s="13">
        <f>IF(AQ543="1",BI543,0)</f>
        <v>0</v>
      </c>
      <c r="AD543" s="13">
        <f>IF(AQ543="7",BH543,0)</f>
        <v>0</v>
      </c>
      <c r="AE543" s="13">
        <f>IF(AQ543="7",BI543,0)</f>
        <v>0</v>
      </c>
      <c r="AF543" s="13">
        <f>IF(AQ543="2",BH543,0)</f>
        <v>0</v>
      </c>
      <c r="AG543" s="13">
        <f>IF(AQ543="2",BI543,0)</f>
        <v>0</v>
      </c>
      <c r="AH543" s="13">
        <f>IF(AQ543="0",BJ543,0)</f>
        <v>0</v>
      </c>
      <c r="AI543" s="21" t="s">
        <v>1096</v>
      </c>
      <c r="AJ543" s="13">
        <f>IF(AN543=0,M543,0)</f>
        <v>0</v>
      </c>
      <c r="AK543" s="13">
        <f>IF(AN543=15,M543,0)</f>
        <v>0</v>
      </c>
      <c r="AL543" s="13">
        <f>IF(AN543=21,M543,0)</f>
        <v>0</v>
      </c>
      <c r="AN543" s="13">
        <v>21</v>
      </c>
      <c r="AO543" s="13">
        <f>J543*0.536534563301639</f>
        <v>0</v>
      </c>
      <c r="AP543" s="13">
        <f>J543*(1-0.536534563301639)</f>
        <v>0</v>
      </c>
      <c r="AQ543" s="32" t="s">
        <v>1231</v>
      </c>
      <c r="AV543" s="13">
        <f>AW543+AX543</f>
        <v>0</v>
      </c>
      <c r="AW543" s="13">
        <f>I543*AO543</f>
        <v>0</v>
      </c>
      <c r="AX543" s="13">
        <f>I543*AP543</f>
        <v>0</v>
      </c>
      <c r="AY543" s="32" t="s">
        <v>1219</v>
      </c>
      <c r="AZ543" s="32" t="s">
        <v>1025</v>
      </c>
      <c r="BA543" s="21" t="s">
        <v>464</v>
      </c>
      <c r="BC543" s="13">
        <f>AW543+AX543</f>
        <v>0</v>
      </c>
      <c r="BD543" s="13">
        <f>J543/(100-BE543)*100</f>
        <v>0</v>
      </c>
      <c r="BE543" s="13">
        <v>0</v>
      </c>
      <c r="BF543" s="13">
        <f>543</f>
        <v>543</v>
      </c>
      <c r="BH543" s="13">
        <f>I543*AO543</f>
        <v>0</v>
      </c>
      <c r="BI543" s="13">
        <f>I543*AP543</f>
        <v>0</v>
      </c>
      <c r="BJ543" s="13">
        <f>I543*J543</f>
        <v>0</v>
      </c>
      <c r="BK543" s="13"/>
      <c r="BL543" s="13">
        <v>59</v>
      </c>
    </row>
    <row r="544" spans="1:15" ht="13.5" customHeight="1">
      <c r="A544" s="39"/>
      <c r="C544" s="7" t="s">
        <v>106</v>
      </c>
      <c r="D544" s="74" t="s">
        <v>350</v>
      </c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6"/>
    </row>
    <row r="545" spans="1:64" ht="15" customHeight="1">
      <c r="A545" s="11" t="s">
        <v>969</v>
      </c>
      <c r="B545" s="48" t="s">
        <v>1096</v>
      </c>
      <c r="C545" s="48" t="s">
        <v>807</v>
      </c>
      <c r="D545" s="61" t="s">
        <v>919</v>
      </c>
      <c r="E545" s="61"/>
      <c r="F545" s="61"/>
      <c r="G545" s="61"/>
      <c r="H545" s="48" t="s">
        <v>1216</v>
      </c>
      <c r="I545" s="13">
        <v>1865.5</v>
      </c>
      <c r="J545" s="13">
        <v>0</v>
      </c>
      <c r="K545" s="13">
        <f>I545*AO545</f>
        <v>0</v>
      </c>
      <c r="L545" s="13">
        <f>I545*AP545</f>
        <v>0</v>
      </c>
      <c r="M545" s="13">
        <f>I545*J545</f>
        <v>0</v>
      </c>
      <c r="N545" s="13">
        <v>0.64444</v>
      </c>
      <c r="O545" s="10" t="s">
        <v>851</v>
      </c>
      <c r="Z545" s="13">
        <f>IF(AQ545="5",BJ545,0)</f>
        <v>0</v>
      </c>
      <c r="AB545" s="13">
        <f>IF(AQ545="1",BH545,0)</f>
        <v>0</v>
      </c>
      <c r="AC545" s="13">
        <f>IF(AQ545="1",BI545,0)</f>
        <v>0</v>
      </c>
      <c r="AD545" s="13">
        <f>IF(AQ545="7",BH545,0)</f>
        <v>0</v>
      </c>
      <c r="AE545" s="13">
        <f>IF(AQ545="7",BI545,0)</f>
        <v>0</v>
      </c>
      <c r="AF545" s="13">
        <f>IF(AQ545="2",BH545,0)</f>
        <v>0</v>
      </c>
      <c r="AG545" s="13">
        <f>IF(AQ545="2",BI545,0)</f>
        <v>0</v>
      </c>
      <c r="AH545" s="13">
        <f>IF(AQ545="0",BJ545,0)</f>
        <v>0</v>
      </c>
      <c r="AI545" s="21" t="s">
        <v>1096</v>
      </c>
      <c r="AJ545" s="13">
        <f>IF(AN545=0,M545,0)</f>
        <v>0</v>
      </c>
      <c r="AK545" s="13">
        <f>IF(AN545=15,M545,0)</f>
        <v>0</v>
      </c>
      <c r="AL545" s="13">
        <f>IF(AN545=21,M545,0)</f>
        <v>0</v>
      </c>
      <c r="AN545" s="13">
        <v>21</v>
      </c>
      <c r="AO545" s="13">
        <f>J545*0.504435129877467</f>
        <v>0</v>
      </c>
      <c r="AP545" s="13">
        <f>J545*(1-0.504435129877467)</f>
        <v>0</v>
      </c>
      <c r="AQ545" s="32" t="s">
        <v>1231</v>
      </c>
      <c r="AV545" s="13">
        <f>AW545+AX545</f>
        <v>0</v>
      </c>
      <c r="AW545" s="13">
        <f>I545*AO545</f>
        <v>0</v>
      </c>
      <c r="AX545" s="13">
        <f>I545*AP545</f>
        <v>0</v>
      </c>
      <c r="AY545" s="32" t="s">
        <v>1219</v>
      </c>
      <c r="AZ545" s="32" t="s">
        <v>1025</v>
      </c>
      <c r="BA545" s="21" t="s">
        <v>464</v>
      </c>
      <c r="BC545" s="13">
        <f>AW545+AX545</f>
        <v>0</v>
      </c>
      <c r="BD545" s="13">
        <f>J545/(100-BE545)*100</f>
        <v>0</v>
      </c>
      <c r="BE545" s="13">
        <v>0</v>
      </c>
      <c r="BF545" s="13">
        <f>545</f>
        <v>545</v>
      </c>
      <c r="BH545" s="13">
        <f>I545*AO545</f>
        <v>0</v>
      </c>
      <c r="BI545" s="13">
        <f>I545*AP545</f>
        <v>0</v>
      </c>
      <c r="BJ545" s="13">
        <f>I545*J545</f>
        <v>0</v>
      </c>
      <c r="BK545" s="13"/>
      <c r="BL545" s="13">
        <v>59</v>
      </c>
    </row>
    <row r="546" spans="1:15" ht="13.5" customHeight="1">
      <c r="A546" s="39"/>
      <c r="C546" s="7" t="s">
        <v>106</v>
      </c>
      <c r="D546" s="74" t="s">
        <v>235</v>
      </c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6"/>
    </row>
    <row r="547" spans="1:47" ht="15" customHeight="1">
      <c r="A547" s="30" t="s">
        <v>862</v>
      </c>
      <c r="B547" s="18" t="s">
        <v>1096</v>
      </c>
      <c r="C547" s="18" t="s">
        <v>55</v>
      </c>
      <c r="D547" s="73" t="s">
        <v>435</v>
      </c>
      <c r="E547" s="73"/>
      <c r="F547" s="73"/>
      <c r="G547" s="73"/>
      <c r="H547" s="15" t="s">
        <v>1148</v>
      </c>
      <c r="I547" s="15" t="s">
        <v>1148</v>
      </c>
      <c r="J547" s="15" t="s">
        <v>1148</v>
      </c>
      <c r="K547" s="56">
        <f>SUM(K548:K556)</f>
        <v>0</v>
      </c>
      <c r="L547" s="56">
        <f>SUM(L548:L556)</f>
        <v>0</v>
      </c>
      <c r="M547" s="56">
        <f>SUM(M548:M556)</f>
        <v>0</v>
      </c>
      <c r="N547" s="21" t="s">
        <v>862</v>
      </c>
      <c r="O547" s="47" t="s">
        <v>862</v>
      </c>
      <c r="AI547" s="21" t="s">
        <v>1096</v>
      </c>
      <c r="AS547" s="56">
        <f>SUM(AJ548:AJ556)</f>
        <v>0</v>
      </c>
      <c r="AT547" s="56">
        <f>SUM(AK548:AK556)</f>
        <v>0</v>
      </c>
      <c r="AU547" s="56">
        <f>SUM(AL548:AL556)</f>
        <v>0</v>
      </c>
    </row>
    <row r="548" spans="1:64" ht="15" customHeight="1">
      <c r="A548" s="11" t="s">
        <v>576</v>
      </c>
      <c r="B548" s="48" t="s">
        <v>1096</v>
      </c>
      <c r="C548" s="48" t="s">
        <v>841</v>
      </c>
      <c r="D548" s="61" t="s">
        <v>513</v>
      </c>
      <c r="E548" s="61"/>
      <c r="F548" s="61"/>
      <c r="G548" s="61"/>
      <c r="H548" s="48" t="s">
        <v>299</v>
      </c>
      <c r="I548" s="13">
        <v>16</v>
      </c>
      <c r="J548" s="13">
        <v>0</v>
      </c>
      <c r="K548" s="13">
        <f aca="true" t="shared" si="408" ref="K548:K556">I548*AO548</f>
        <v>0</v>
      </c>
      <c r="L548" s="13">
        <f aca="true" t="shared" si="409" ref="L548:L556">I548*AP548</f>
        <v>0</v>
      </c>
      <c r="M548" s="13">
        <f aca="true" t="shared" si="410" ref="M548:M556">I548*J548</f>
        <v>0</v>
      </c>
      <c r="N548" s="13">
        <v>0.1184</v>
      </c>
      <c r="O548" s="10" t="s">
        <v>851</v>
      </c>
      <c r="Z548" s="13">
        <f aca="true" t="shared" si="411" ref="Z548:Z556">IF(AQ548="5",BJ548,0)</f>
        <v>0</v>
      </c>
      <c r="AB548" s="13">
        <f aca="true" t="shared" si="412" ref="AB548:AB556">IF(AQ548="1",BH548,0)</f>
        <v>0</v>
      </c>
      <c r="AC548" s="13">
        <f aca="true" t="shared" si="413" ref="AC548:AC556">IF(AQ548="1",BI548,0)</f>
        <v>0</v>
      </c>
      <c r="AD548" s="13">
        <f aca="true" t="shared" si="414" ref="AD548:AD556">IF(AQ548="7",BH548,0)</f>
        <v>0</v>
      </c>
      <c r="AE548" s="13">
        <f aca="true" t="shared" si="415" ref="AE548:AE556">IF(AQ548="7",BI548,0)</f>
        <v>0</v>
      </c>
      <c r="AF548" s="13">
        <f aca="true" t="shared" si="416" ref="AF548:AF556">IF(AQ548="2",BH548,0)</f>
        <v>0</v>
      </c>
      <c r="AG548" s="13">
        <f aca="true" t="shared" si="417" ref="AG548:AG556">IF(AQ548="2",BI548,0)</f>
        <v>0</v>
      </c>
      <c r="AH548" s="13">
        <f aca="true" t="shared" si="418" ref="AH548:AH556">IF(AQ548="0",BJ548,0)</f>
        <v>0</v>
      </c>
      <c r="AI548" s="21" t="s">
        <v>1096</v>
      </c>
      <c r="AJ548" s="13">
        <f aca="true" t="shared" si="419" ref="AJ548:AJ556">IF(AN548=0,M548,0)</f>
        <v>0</v>
      </c>
      <c r="AK548" s="13">
        <f aca="true" t="shared" si="420" ref="AK548:AK556">IF(AN548=15,M548,0)</f>
        <v>0</v>
      </c>
      <c r="AL548" s="13">
        <f aca="true" t="shared" si="421" ref="AL548:AL556">IF(AN548=21,M548,0)</f>
        <v>0</v>
      </c>
      <c r="AN548" s="13">
        <v>21</v>
      </c>
      <c r="AO548" s="13">
        <f>J548*0.829773656706836</f>
        <v>0</v>
      </c>
      <c r="AP548" s="13">
        <f>J548*(1-0.829773656706836)</f>
        <v>0</v>
      </c>
      <c r="AQ548" s="32" t="s">
        <v>1231</v>
      </c>
      <c r="AV548" s="13">
        <f aca="true" t="shared" si="422" ref="AV548:AV556">AW548+AX548</f>
        <v>0</v>
      </c>
      <c r="AW548" s="13">
        <f aca="true" t="shared" si="423" ref="AW548:AW556">I548*AO548</f>
        <v>0</v>
      </c>
      <c r="AX548" s="13">
        <f aca="true" t="shared" si="424" ref="AX548:AX556">I548*AP548</f>
        <v>0</v>
      </c>
      <c r="AY548" s="32" t="s">
        <v>1206</v>
      </c>
      <c r="AZ548" s="32" t="s">
        <v>738</v>
      </c>
      <c r="BA548" s="21" t="s">
        <v>464</v>
      </c>
      <c r="BC548" s="13">
        <f aca="true" t="shared" si="425" ref="BC548:BC556">AW548+AX548</f>
        <v>0</v>
      </c>
      <c r="BD548" s="13">
        <f aca="true" t="shared" si="426" ref="BD548:BD556">J548/(100-BE548)*100</f>
        <v>0</v>
      </c>
      <c r="BE548" s="13">
        <v>0</v>
      </c>
      <c r="BF548" s="13">
        <f>548</f>
        <v>548</v>
      </c>
      <c r="BH548" s="13">
        <f aca="true" t="shared" si="427" ref="BH548:BH556">I548*AO548</f>
        <v>0</v>
      </c>
      <c r="BI548" s="13">
        <f aca="true" t="shared" si="428" ref="BI548:BI556">I548*AP548</f>
        <v>0</v>
      </c>
      <c r="BJ548" s="13">
        <f aca="true" t="shared" si="429" ref="BJ548:BJ556">I548*J548</f>
        <v>0</v>
      </c>
      <c r="BK548" s="13"/>
      <c r="BL548" s="13">
        <v>91</v>
      </c>
    </row>
    <row r="549" spans="1:64" ht="15" customHeight="1">
      <c r="A549" s="11" t="s">
        <v>872</v>
      </c>
      <c r="B549" s="48" t="s">
        <v>1096</v>
      </c>
      <c r="C549" s="48" t="s">
        <v>1293</v>
      </c>
      <c r="D549" s="61" t="s">
        <v>627</v>
      </c>
      <c r="E549" s="61"/>
      <c r="F549" s="61"/>
      <c r="G549" s="61"/>
      <c r="H549" s="48" t="s">
        <v>1018</v>
      </c>
      <c r="I549" s="13">
        <v>50</v>
      </c>
      <c r="J549" s="13">
        <v>0</v>
      </c>
      <c r="K549" s="13">
        <f t="shared" si="408"/>
        <v>0</v>
      </c>
      <c r="L549" s="13">
        <f t="shared" si="409"/>
        <v>0</v>
      </c>
      <c r="M549" s="13">
        <f t="shared" si="410"/>
        <v>0</v>
      </c>
      <c r="N549" s="13">
        <v>0.00018</v>
      </c>
      <c r="O549" s="10" t="s">
        <v>851</v>
      </c>
      <c r="Z549" s="13">
        <f t="shared" si="411"/>
        <v>0</v>
      </c>
      <c r="AB549" s="13">
        <f t="shared" si="412"/>
        <v>0</v>
      </c>
      <c r="AC549" s="13">
        <f t="shared" si="413"/>
        <v>0</v>
      </c>
      <c r="AD549" s="13">
        <f t="shared" si="414"/>
        <v>0</v>
      </c>
      <c r="AE549" s="13">
        <f t="shared" si="415"/>
        <v>0</v>
      </c>
      <c r="AF549" s="13">
        <f t="shared" si="416"/>
        <v>0</v>
      </c>
      <c r="AG549" s="13">
        <f t="shared" si="417"/>
        <v>0</v>
      </c>
      <c r="AH549" s="13">
        <f t="shared" si="418"/>
        <v>0</v>
      </c>
      <c r="AI549" s="21" t="s">
        <v>1096</v>
      </c>
      <c r="AJ549" s="13">
        <f t="shared" si="419"/>
        <v>0</v>
      </c>
      <c r="AK549" s="13">
        <f t="shared" si="420"/>
        <v>0</v>
      </c>
      <c r="AL549" s="13">
        <f t="shared" si="421"/>
        <v>0</v>
      </c>
      <c r="AN549" s="13">
        <v>21</v>
      </c>
      <c r="AO549" s="13">
        <f>J549*0.722036082474227</f>
        <v>0</v>
      </c>
      <c r="AP549" s="13">
        <f>J549*(1-0.722036082474227)</f>
        <v>0</v>
      </c>
      <c r="AQ549" s="32" t="s">
        <v>1231</v>
      </c>
      <c r="AV549" s="13">
        <f t="shared" si="422"/>
        <v>0</v>
      </c>
      <c r="AW549" s="13">
        <f t="shared" si="423"/>
        <v>0</v>
      </c>
      <c r="AX549" s="13">
        <f t="shared" si="424"/>
        <v>0</v>
      </c>
      <c r="AY549" s="32" t="s">
        <v>1206</v>
      </c>
      <c r="AZ549" s="32" t="s">
        <v>738</v>
      </c>
      <c r="BA549" s="21" t="s">
        <v>464</v>
      </c>
      <c r="BC549" s="13">
        <f t="shared" si="425"/>
        <v>0</v>
      </c>
      <c r="BD549" s="13">
        <f t="shared" si="426"/>
        <v>0</v>
      </c>
      <c r="BE549" s="13">
        <v>0</v>
      </c>
      <c r="BF549" s="13">
        <f>549</f>
        <v>549</v>
      </c>
      <c r="BH549" s="13">
        <f t="shared" si="427"/>
        <v>0</v>
      </c>
      <c r="BI549" s="13">
        <f t="shared" si="428"/>
        <v>0</v>
      </c>
      <c r="BJ549" s="13">
        <f t="shared" si="429"/>
        <v>0</v>
      </c>
      <c r="BK549" s="13"/>
      <c r="BL549" s="13">
        <v>91</v>
      </c>
    </row>
    <row r="550" spans="1:64" ht="15" customHeight="1">
      <c r="A550" s="11" t="s">
        <v>1126</v>
      </c>
      <c r="B550" s="48" t="s">
        <v>1096</v>
      </c>
      <c r="C550" s="48" t="s">
        <v>1293</v>
      </c>
      <c r="D550" s="61" t="s">
        <v>627</v>
      </c>
      <c r="E550" s="61"/>
      <c r="F550" s="61"/>
      <c r="G550" s="61"/>
      <c r="H550" s="48" t="s">
        <v>1018</v>
      </c>
      <c r="I550" s="13">
        <v>60</v>
      </c>
      <c r="J550" s="13">
        <v>0</v>
      </c>
      <c r="K550" s="13">
        <f t="shared" si="408"/>
        <v>0</v>
      </c>
      <c r="L550" s="13">
        <f t="shared" si="409"/>
        <v>0</v>
      </c>
      <c r="M550" s="13">
        <f t="shared" si="410"/>
        <v>0</v>
      </c>
      <c r="N550" s="13">
        <v>0.00018</v>
      </c>
      <c r="O550" s="10" t="s">
        <v>851</v>
      </c>
      <c r="Z550" s="13">
        <f t="shared" si="411"/>
        <v>0</v>
      </c>
      <c r="AB550" s="13">
        <f t="shared" si="412"/>
        <v>0</v>
      </c>
      <c r="AC550" s="13">
        <f t="shared" si="413"/>
        <v>0</v>
      </c>
      <c r="AD550" s="13">
        <f t="shared" si="414"/>
        <v>0</v>
      </c>
      <c r="AE550" s="13">
        <f t="shared" si="415"/>
        <v>0</v>
      </c>
      <c r="AF550" s="13">
        <f t="shared" si="416"/>
        <v>0</v>
      </c>
      <c r="AG550" s="13">
        <f t="shared" si="417"/>
        <v>0</v>
      </c>
      <c r="AH550" s="13">
        <f t="shared" si="418"/>
        <v>0</v>
      </c>
      <c r="AI550" s="21" t="s">
        <v>1096</v>
      </c>
      <c r="AJ550" s="13">
        <f t="shared" si="419"/>
        <v>0</v>
      </c>
      <c r="AK550" s="13">
        <f t="shared" si="420"/>
        <v>0</v>
      </c>
      <c r="AL550" s="13">
        <f t="shared" si="421"/>
        <v>0</v>
      </c>
      <c r="AN550" s="13">
        <v>21</v>
      </c>
      <c r="AO550" s="13">
        <f>J550*0.722036082474227</f>
        <v>0</v>
      </c>
      <c r="AP550" s="13">
        <f>J550*(1-0.722036082474227)</f>
        <v>0</v>
      </c>
      <c r="AQ550" s="32" t="s">
        <v>1231</v>
      </c>
      <c r="AV550" s="13">
        <f t="shared" si="422"/>
        <v>0</v>
      </c>
      <c r="AW550" s="13">
        <f t="shared" si="423"/>
        <v>0</v>
      </c>
      <c r="AX550" s="13">
        <f t="shared" si="424"/>
        <v>0</v>
      </c>
      <c r="AY550" s="32" t="s">
        <v>1206</v>
      </c>
      <c r="AZ550" s="32" t="s">
        <v>738</v>
      </c>
      <c r="BA550" s="21" t="s">
        <v>464</v>
      </c>
      <c r="BC550" s="13">
        <f t="shared" si="425"/>
        <v>0</v>
      </c>
      <c r="BD550" s="13">
        <f t="shared" si="426"/>
        <v>0</v>
      </c>
      <c r="BE550" s="13">
        <v>0</v>
      </c>
      <c r="BF550" s="13">
        <f>550</f>
        <v>550</v>
      </c>
      <c r="BH550" s="13">
        <f t="shared" si="427"/>
        <v>0</v>
      </c>
      <c r="BI550" s="13">
        <f t="shared" si="428"/>
        <v>0</v>
      </c>
      <c r="BJ550" s="13">
        <f t="shared" si="429"/>
        <v>0</v>
      </c>
      <c r="BK550" s="13"/>
      <c r="BL550" s="13">
        <v>91</v>
      </c>
    </row>
    <row r="551" spans="1:64" ht="15" customHeight="1">
      <c r="A551" s="11" t="s">
        <v>209</v>
      </c>
      <c r="B551" s="48" t="s">
        <v>1096</v>
      </c>
      <c r="C551" s="48" t="s">
        <v>722</v>
      </c>
      <c r="D551" s="61" t="s">
        <v>264</v>
      </c>
      <c r="E551" s="61"/>
      <c r="F551" s="61"/>
      <c r="G551" s="61"/>
      <c r="H551" s="48" t="s">
        <v>1018</v>
      </c>
      <c r="I551" s="13">
        <v>120</v>
      </c>
      <c r="J551" s="13">
        <v>0</v>
      </c>
      <c r="K551" s="13">
        <f t="shared" si="408"/>
        <v>0</v>
      </c>
      <c r="L551" s="13">
        <f t="shared" si="409"/>
        <v>0</v>
      </c>
      <c r="M551" s="13">
        <f t="shared" si="410"/>
        <v>0</v>
      </c>
      <c r="N551" s="13">
        <v>0.00013</v>
      </c>
      <c r="O551" s="10" t="s">
        <v>851</v>
      </c>
      <c r="Z551" s="13">
        <f t="shared" si="411"/>
        <v>0</v>
      </c>
      <c r="AB551" s="13">
        <f t="shared" si="412"/>
        <v>0</v>
      </c>
      <c r="AC551" s="13">
        <f t="shared" si="413"/>
        <v>0</v>
      </c>
      <c r="AD551" s="13">
        <f t="shared" si="414"/>
        <v>0</v>
      </c>
      <c r="AE551" s="13">
        <f t="shared" si="415"/>
        <v>0</v>
      </c>
      <c r="AF551" s="13">
        <f t="shared" si="416"/>
        <v>0</v>
      </c>
      <c r="AG551" s="13">
        <f t="shared" si="417"/>
        <v>0</v>
      </c>
      <c r="AH551" s="13">
        <f t="shared" si="418"/>
        <v>0</v>
      </c>
      <c r="AI551" s="21" t="s">
        <v>1096</v>
      </c>
      <c r="AJ551" s="13">
        <f t="shared" si="419"/>
        <v>0</v>
      </c>
      <c r="AK551" s="13">
        <f t="shared" si="420"/>
        <v>0</v>
      </c>
      <c r="AL551" s="13">
        <f t="shared" si="421"/>
        <v>0</v>
      </c>
      <c r="AN551" s="13">
        <v>21</v>
      </c>
      <c r="AO551" s="13">
        <f>J551*0.756455142231947</f>
        <v>0</v>
      </c>
      <c r="AP551" s="13">
        <f>J551*(1-0.756455142231947)</f>
        <v>0</v>
      </c>
      <c r="AQ551" s="32" t="s">
        <v>1231</v>
      </c>
      <c r="AV551" s="13">
        <f t="shared" si="422"/>
        <v>0</v>
      </c>
      <c r="AW551" s="13">
        <f t="shared" si="423"/>
        <v>0</v>
      </c>
      <c r="AX551" s="13">
        <f t="shared" si="424"/>
        <v>0</v>
      </c>
      <c r="AY551" s="32" t="s">
        <v>1206</v>
      </c>
      <c r="AZ551" s="32" t="s">
        <v>738</v>
      </c>
      <c r="BA551" s="21" t="s">
        <v>464</v>
      </c>
      <c r="BC551" s="13">
        <f t="shared" si="425"/>
        <v>0</v>
      </c>
      <c r="BD551" s="13">
        <f t="shared" si="426"/>
        <v>0</v>
      </c>
      <c r="BE551" s="13">
        <v>0</v>
      </c>
      <c r="BF551" s="13">
        <f>551</f>
        <v>551</v>
      </c>
      <c r="BH551" s="13">
        <f t="shared" si="427"/>
        <v>0</v>
      </c>
      <c r="BI551" s="13">
        <f t="shared" si="428"/>
        <v>0</v>
      </c>
      <c r="BJ551" s="13">
        <f t="shared" si="429"/>
        <v>0</v>
      </c>
      <c r="BK551" s="13"/>
      <c r="BL551" s="13">
        <v>91</v>
      </c>
    </row>
    <row r="552" spans="1:64" ht="15" customHeight="1">
      <c r="A552" s="11" t="s">
        <v>391</v>
      </c>
      <c r="B552" s="48" t="s">
        <v>1096</v>
      </c>
      <c r="C552" s="48" t="s">
        <v>577</v>
      </c>
      <c r="D552" s="61" t="s">
        <v>743</v>
      </c>
      <c r="E552" s="61"/>
      <c r="F552" s="61"/>
      <c r="G552" s="61"/>
      <c r="H552" s="48" t="s">
        <v>1216</v>
      </c>
      <c r="I552" s="13">
        <v>185</v>
      </c>
      <c r="J552" s="13">
        <v>0</v>
      </c>
      <c r="K552" s="13">
        <f t="shared" si="408"/>
        <v>0</v>
      </c>
      <c r="L552" s="13">
        <f t="shared" si="409"/>
        <v>0</v>
      </c>
      <c r="M552" s="13">
        <f t="shared" si="410"/>
        <v>0</v>
      </c>
      <c r="N552" s="13">
        <v>0.00014</v>
      </c>
      <c r="O552" s="10" t="s">
        <v>851</v>
      </c>
      <c r="Z552" s="13">
        <f t="shared" si="411"/>
        <v>0</v>
      </c>
      <c r="AB552" s="13">
        <f t="shared" si="412"/>
        <v>0</v>
      </c>
      <c r="AC552" s="13">
        <f t="shared" si="413"/>
        <v>0</v>
      </c>
      <c r="AD552" s="13">
        <f t="shared" si="414"/>
        <v>0</v>
      </c>
      <c r="AE552" s="13">
        <f t="shared" si="415"/>
        <v>0</v>
      </c>
      <c r="AF552" s="13">
        <f t="shared" si="416"/>
        <v>0</v>
      </c>
      <c r="AG552" s="13">
        <f t="shared" si="417"/>
        <v>0</v>
      </c>
      <c r="AH552" s="13">
        <f t="shared" si="418"/>
        <v>0</v>
      </c>
      <c r="AI552" s="21" t="s">
        <v>1096</v>
      </c>
      <c r="AJ552" s="13">
        <f t="shared" si="419"/>
        <v>0</v>
      </c>
      <c r="AK552" s="13">
        <f t="shared" si="420"/>
        <v>0</v>
      </c>
      <c r="AL552" s="13">
        <f t="shared" si="421"/>
        <v>0</v>
      </c>
      <c r="AN552" s="13">
        <v>21</v>
      </c>
      <c r="AO552" s="13">
        <f>J552*0.406936316695353</f>
        <v>0</v>
      </c>
      <c r="AP552" s="13">
        <f>J552*(1-0.406936316695353)</f>
        <v>0</v>
      </c>
      <c r="AQ552" s="32" t="s">
        <v>1231</v>
      </c>
      <c r="AV552" s="13">
        <f t="shared" si="422"/>
        <v>0</v>
      </c>
      <c r="AW552" s="13">
        <f t="shared" si="423"/>
        <v>0</v>
      </c>
      <c r="AX552" s="13">
        <f t="shared" si="424"/>
        <v>0</v>
      </c>
      <c r="AY552" s="32" t="s">
        <v>1206</v>
      </c>
      <c r="AZ552" s="32" t="s">
        <v>738</v>
      </c>
      <c r="BA552" s="21" t="s">
        <v>464</v>
      </c>
      <c r="BC552" s="13">
        <f t="shared" si="425"/>
        <v>0</v>
      </c>
      <c r="BD552" s="13">
        <f t="shared" si="426"/>
        <v>0</v>
      </c>
      <c r="BE552" s="13">
        <v>0</v>
      </c>
      <c r="BF552" s="13">
        <f>552</f>
        <v>552</v>
      </c>
      <c r="BH552" s="13">
        <f t="shared" si="427"/>
        <v>0</v>
      </c>
      <c r="BI552" s="13">
        <f t="shared" si="428"/>
        <v>0</v>
      </c>
      <c r="BJ552" s="13">
        <f t="shared" si="429"/>
        <v>0</v>
      </c>
      <c r="BK552" s="13"/>
      <c r="BL552" s="13">
        <v>91</v>
      </c>
    </row>
    <row r="553" spans="1:64" ht="15" customHeight="1">
      <c r="A553" s="11" t="s">
        <v>769</v>
      </c>
      <c r="B553" s="48" t="s">
        <v>1096</v>
      </c>
      <c r="C553" s="48" t="s">
        <v>1392</v>
      </c>
      <c r="D553" s="61" t="s">
        <v>17</v>
      </c>
      <c r="E553" s="61"/>
      <c r="F553" s="61"/>
      <c r="G553" s="61"/>
      <c r="H553" s="48" t="s">
        <v>1018</v>
      </c>
      <c r="I553" s="13">
        <v>1260</v>
      </c>
      <c r="J553" s="13">
        <v>0</v>
      </c>
      <c r="K553" s="13">
        <f t="shared" si="408"/>
        <v>0</v>
      </c>
      <c r="L553" s="13">
        <f t="shared" si="409"/>
        <v>0</v>
      </c>
      <c r="M553" s="13">
        <f t="shared" si="410"/>
        <v>0</v>
      </c>
      <c r="N553" s="13">
        <v>0.20047</v>
      </c>
      <c r="O553" s="10" t="s">
        <v>851</v>
      </c>
      <c r="Z553" s="13">
        <f t="shared" si="411"/>
        <v>0</v>
      </c>
      <c r="AB553" s="13">
        <f t="shared" si="412"/>
        <v>0</v>
      </c>
      <c r="AC553" s="13">
        <f t="shared" si="413"/>
        <v>0</v>
      </c>
      <c r="AD553" s="13">
        <f t="shared" si="414"/>
        <v>0</v>
      </c>
      <c r="AE553" s="13">
        <f t="shared" si="415"/>
        <v>0</v>
      </c>
      <c r="AF553" s="13">
        <f t="shared" si="416"/>
        <v>0</v>
      </c>
      <c r="AG553" s="13">
        <f t="shared" si="417"/>
        <v>0</v>
      </c>
      <c r="AH553" s="13">
        <f t="shared" si="418"/>
        <v>0</v>
      </c>
      <c r="AI553" s="21" t="s">
        <v>1096</v>
      </c>
      <c r="AJ553" s="13">
        <f t="shared" si="419"/>
        <v>0</v>
      </c>
      <c r="AK553" s="13">
        <f t="shared" si="420"/>
        <v>0</v>
      </c>
      <c r="AL553" s="13">
        <f t="shared" si="421"/>
        <v>0</v>
      </c>
      <c r="AN553" s="13">
        <v>21</v>
      </c>
      <c r="AO553" s="13">
        <f>J553*0.768586678307109</f>
        <v>0</v>
      </c>
      <c r="AP553" s="13">
        <f>J553*(1-0.768586678307109)</f>
        <v>0</v>
      </c>
      <c r="AQ553" s="32" t="s">
        <v>1231</v>
      </c>
      <c r="AV553" s="13">
        <f t="shared" si="422"/>
        <v>0</v>
      </c>
      <c r="AW553" s="13">
        <f t="shared" si="423"/>
        <v>0</v>
      </c>
      <c r="AX553" s="13">
        <f t="shared" si="424"/>
        <v>0</v>
      </c>
      <c r="AY553" s="32" t="s">
        <v>1206</v>
      </c>
      <c r="AZ553" s="32" t="s">
        <v>738</v>
      </c>
      <c r="BA553" s="21" t="s">
        <v>464</v>
      </c>
      <c r="BC553" s="13">
        <f t="shared" si="425"/>
        <v>0</v>
      </c>
      <c r="BD553" s="13">
        <f t="shared" si="426"/>
        <v>0</v>
      </c>
      <c r="BE553" s="13">
        <v>0</v>
      </c>
      <c r="BF553" s="13">
        <f>553</f>
        <v>553</v>
      </c>
      <c r="BH553" s="13">
        <f t="shared" si="427"/>
        <v>0</v>
      </c>
      <c r="BI553" s="13">
        <f t="shared" si="428"/>
        <v>0</v>
      </c>
      <c r="BJ553" s="13">
        <f t="shared" si="429"/>
        <v>0</v>
      </c>
      <c r="BK553" s="13"/>
      <c r="BL553" s="13">
        <v>91</v>
      </c>
    </row>
    <row r="554" spans="1:64" ht="15" customHeight="1">
      <c r="A554" s="11" t="s">
        <v>1201</v>
      </c>
      <c r="B554" s="48" t="s">
        <v>1096</v>
      </c>
      <c r="C554" s="48" t="s">
        <v>94</v>
      </c>
      <c r="D554" s="61" t="s">
        <v>17</v>
      </c>
      <c r="E554" s="61"/>
      <c r="F554" s="61"/>
      <c r="G554" s="61"/>
      <c r="H554" s="48" t="s">
        <v>1018</v>
      </c>
      <c r="I554" s="13">
        <v>320</v>
      </c>
      <c r="J554" s="13">
        <v>0</v>
      </c>
      <c r="K554" s="13">
        <f t="shared" si="408"/>
        <v>0</v>
      </c>
      <c r="L554" s="13">
        <f t="shared" si="409"/>
        <v>0</v>
      </c>
      <c r="M554" s="13">
        <f t="shared" si="410"/>
        <v>0</v>
      </c>
      <c r="N554" s="13">
        <v>0.16108</v>
      </c>
      <c r="O554" s="10" t="s">
        <v>851</v>
      </c>
      <c r="Z554" s="13">
        <f t="shared" si="411"/>
        <v>0</v>
      </c>
      <c r="AB554" s="13">
        <f t="shared" si="412"/>
        <v>0</v>
      </c>
      <c r="AC554" s="13">
        <f t="shared" si="413"/>
        <v>0</v>
      </c>
      <c r="AD554" s="13">
        <f t="shared" si="414"/>
        <v>0</v>
      </c>
      <c r="AE554" s="13">
        <f t="shared" si="415"/>
        <v>0</v>
      </c>
      <c r="AF554" s="13">
        <f t="shared" si="416"/>
        <v>0</v>
      </c>
      <c r="AG554" s="13">
        <f t="shared" si="417"/>
        <v>0</v>
      </c>
      <c r="AH554" s="13">
        <f t="shared" si="418"/>
        <v>0</v>
      </c>
      <c r="AI554" s="21" t="s">
        <v>1096</v>
      </c>
      <c r="AJ554" s="13">
        <f t="shared" si="419"/>
        <v>0</v>
      </c>
      <c r="AK554" s="13">
        <f t="shared" si="420"/>
        <v>0</v>
      </c>
      <c r="AL554" s="13">
        <f t="shared" si="421"/>
        <v>0</v>
      </c>
      <c r="AN554" s="13">
        <v>21</v>
      </c>
      <c r="AO554" s="13">
        <f>J554*0.712017580681005</f>
        <v>0</v>
      </c>
      <c r="AP554" s="13">
        <f>J554*(1-0.712017580681005)</f>
        <v>0</v>
      </c>
      <c r="AQ554" s="32" t="s">
        <v>1231</v>
      </c>
      <c r="AV554" s="13">
        <f t="shared" si="422"/>
        <v>0</v>
      </c>
      <c r="AW554" s="13">
        <f t="shared" si="423"/>
        <v>0</v>
      </c>
      <c r="AX554" s="13">
        <f t="shared" si="424"/>
        <v>0</v>
      </c>
      <c r="AY554" s="32" t="s">
        <v>1206</v>
      </c>
      <c r="AZ554" s="32" t="s">
        <v>738</v>
      </c>
      <c r="BA554" s="21" t="s">
        <v>464</v>
      </c>
      <c r="BC554" s="13">
        <f t="shared" si="425"/>
        <v>0</v>
      </c>
      <c r="BD554" s="13">
        <f t="shared" si="426"/>
        <v>0</v>
      </c>
      <c r="BE554" s="13">
        <v>0</v>
      </c>
      <c r="BF554" s="13">
        <f>554</f>
        <v>554</v>
      </c>
      <c r="BH554" s="13">
        <f t="shared" si="427"/>
        <v>0</v>
      </c>
      <c r="BI554" s="13">
        <f t="shared" si="428"/>
        <v>0</v>
      </c>
      <c r="BJ554" s="13">
        <f t="shared" si="429"/>
        <v>0</v>
      </c>
      <c r="BK554" s="13"/>
      <c r="BL554" s="13">
        <v>91</v>
      </c>
    </row>
    <row r="555" spans="1:64" ht="15" customHeight="1">
      <c r="A555" s="11" t="s">
        <v>15</v>
      </c>
      <c r="B555" s="48" t="s">
        <v>1096</v>
      </c>
      <c r="C555" s="48" t="s">
        <v>540</v>
      </c>
      <c r="D555" s="61" t="s">
        <v>105</v>
      </c>
      <c r="E555" s="61"/>
      <c r="F555" s="61"/>
      <c r="G555" s="61"/>
      <c r="H555" s="48" t="s">
        <v>1018</v>
      </c>
      <c r="I555" s="13">
        <v>93</v>
      </c>
      <c r="J555" s="13">
        <v>0</v>
      </c>
      <c r="K555" s="13">
        <f t="shared" si="408"/>
        <v>0</v>
      </c>
      <c r="L555" s="13">
        <f t="shared" si="409"/>
        <v>0</v>
      </c>
      <c r="M555" s="13">
        <f t="shared" si="410"/>
        <v>0</v>
      </c>
      <c r="N555" s="13">
        <v>0.1952</v>
      </c>
      <c r="O555" s="10" t="s">
        <v>851</v>
      </c>
      <c r="Z555" s="13">
        <f t="shared" si="411"/>
        <v>0</v>
      </c>
      <c r="AB555" s="13">
        <f t="shared" si="412"/>
        <v>0</v>
      </c>
      <c r="AC555" s="13">
        <f t="shared" si="413"/>
        <v>0</v>
      </c>
      <c r="AD555" s="13">
        <f t="shared" si="414"/>
        <v>0</v>
      </c>
      <c r="AE555" s="13">
        <f t="shared" si="415"/>
        <v>0</v>
      </c>
      <c r="AF555" s="13">
        <f t="shared" si="416"/>
        <v>0</v>
      </c>
      <c r="AG555" s="13">
        <f t="shared" si="417"/>
        <v>0</v>
      </c>
      <c r="AH555" s="13">
        <f t="shared" si="418"/>
        <v>0</v>
      </c>
      <c r="AI555" s="21" t="s">
        <v>1096</v>
      </c>
      <c r="AJ555" s="13">
        <f t="shared" si="419"/>
        <v>0</v>
      </c>
      <c r="AK555" s="13">
        <f t="shared" si="420"/>
        <v>0</v>
      </c>
      <c r="AL555" s="13">
        <f t="shared" si="421"/>
        <v>0</v>
      </c>
      <c r="AN555" s="13">
        <v>21</v>
      </c>
      <c r="AO555" s="13">
        <f>J555*0.693116178067318</f>
        <v>0</v>
      </c>
      <c r="AP555" s="13">
        <f>J555*(1-0.693116178067318)</f>
        <v>0</v>
      </c>
      <c r="AQ555" s="32" t="s">
        <v>1231</v>
      </c>
      <c r="AV555" s="13">
        <f t="shared" si="422"/>
        <v>0</v>
      </c>
      <c r="AW555" s="13">
        <f t="shared" si="423"/>
        <v>0</v>
      </c>
      <c r="AX555" s="13">
        <f t="shared" si="424"/>
        <v>0</v>
      </c>
      <c r="AY555" s="32" t="s">
        <v>1206</v>
      </c>
      <c r="AZ555" s="32" t="s">
        <v>738</v>
      </c>
      <c r="BA555" s="21" t="s">
        <v>464</v>
      </c>
      <c r="BC555" s="13">
        <f t="shared" si="425"/>
        <v>0</v>
      </c>
      <c r="BD555" s="13">
        <f t="shared" si="426"/>
        <v>0</v>
      </c>
      <c r="BE555" s="13">
        <v>0</v>
      </c>
      <c r="BF555" s="13">
        <f>555</f>
        <v>555</v>
      </c>
      <c r="BH555" s="13">
        <f t="shared" si="427"/>
        <v>0</v>
      </c>
      <c r="BI555" s="13">
        <f t="shared" si="428"/>
        <v>0</v>
      </c>
      <c r="BJ555" s="13">
        <f t="shared" si="429"/>
        <v>0</v>
      </c>
      <c r="BK555" s="13"/>
      <c r="BL555" s="13">
        <v>91</v>
      </c>
    </row>
    <row r="556" spans="1:64" ht="15" customHeight="1">
      <c r="A556" s="11" t="s">
        <v>140</v>
      </c>
      <c r="B556" s="48" t="s">
        <v>1096</v>
      </c>
      <c r="C556" s="48" t="s">
        <v>942</v>
      </c>
      <c r="D556" s="61" t="s">
        <v>941</v>
      </c>
      <c r="E556" s="61"/>
      <c r="F556" s="61"/>
      <c r="G556" s="61"/>
      <c r="H556" s="48" t="s">
        <v>1018</v>
      </c>
      <c r="I556" s="13">
        <v>198</v>
      </c>
      <c r="J556" s="13">
        <v>0</v>
      </c>
      <c r="K556" s="13">
        <f t="shared" si="408"/>
        <v>0</v>
      </c>
      <c r="L556" s="13">
        <f t="shared" si="409"/>
        <v>0</v>
      </c>
      <c r="M556" s="13">
        <f t="shared" si="410"/>
        <v>0</v>
      </c>
      <c r="N556" s="13">
        <v>0.2414</v>
      </c>
      <c r="O556" s="10" t="s">
        <v>851</v>
      </c>
      <c r="Z556" s="13">
        <f t="shared" si="411"/>
        <v>0</v>
      </c>
      <c r="AB556" s="13">
        <f t="shared" si="412"/>
        <v>0</v>
      </c>
      <c r="AC556" s="13">
        <f t="shared" si="413"/>
        <v>0</v>
      </c>
      <c r="AD556" s="13">
        <f t="shared" si="414"/>
        <v>0</v>
      </c>
      <c r="AE556" s="13">
        <f t="shared" si="415"/>
        <v>0</v>
      </c>
      <c r="AF556" s="13">
        <f t="shared" si="416"/>
        <v>0</v>
      </c>
      <c r="AG556" s="13">
        <f t="shared" si="417"/>
        <v>0</v>
      </c>
      <c r="AH556" s="13">
        <f t="shared" si="418"/>
        <v>0</v>
      </c>
      <c r="AI556" s="21" t="s">
        <v>1096</v>
      </c>
      <c r="AJ556" s="13">
        <f t="shared" si="419"/>
        <v>0</v>
      </c>
      <c r="AK556" s="13">
        <f t="shared" si="420"/>
        <v>0</v>
      </c>
      <c r="AL556" s="13">
        <f t="shared" si="421"/>
        <v>0</v>
      </c>
      <c r="AN556" s="13">
        <v>21</v>
      </c>
      <c r="AO556" s="13">
        <f>J556*0.911206896551724</f>
        <v>0</v>
      </c>
      <c r="AP556" s="13">
        <f>J556*(1-0.911206896551724)</f>
        <v>0</v>
      </c>
      <c r="AQ556" s="32" t="s">
        <v>1231</v>
      </c>
      <c r="AV556" s="13">
        <f t="shared" si="422"/>
        <v>0</v>
      </c>
      <c r="AW556" s="13">
        <f t="shared" si="423"/>
        <v>0</v>
      </c>
      <c r="AX556" s="13">
        <f t="shared" si="424"/>
        <v>0</v>
      </c>
      <c r="AY556" s="32" t="s">
        <v>1206</v>
      </c>
      <c r="AZ556" s="32" t="s">
        <v>738</v>
      </c>
      <c r="BA556" s="21" t="s">
        <v>464</v>
      </c>
      <c r="BC556" s="13">
        <f t="shared" si="425"/>
        <v>0</v>
      </c>
      <c r="BD556" s="13">
        <f t="shared" si="426"/>
        <v>0</v>
      </c>
      <c r="BE556" s="13">
        <v>0</v>
      </c>
      <c r="BF556" s="13">
        <f>556</f>
        <v>556</v>
      </c>
      <c r="BH556" s="13">
        <f t="shared" si="427"/>
        <v>0</v>
      </c>
      <c r="BI556" s="13">
        <f t="shared" si="428"/>
        <v>0</v>
      </c>
      <c r="BJ556" s="13">
        <f t="shared" si="429"/>
        <v>0</v>
      </c>
      <c r="BK556" s="13"/>
      <c r="BL556" s="13">
        <v>91</v>
      </c>
    </row>
    <row r="557" spans="1:47" ht="15" customHeight="1">
      <c r="A557" s="30" t="s">
        <v>862</v>
      </c>
      <c r="B557" s="18" t="s">
        <v>1096</v>
      </c>
      <c r="C557" s="18" t="s">
        <v>687</v>
      </c>
      <c r="D557" s="73" t="s">
        <v>927</v>
      </c>
      <c r="E557" s="73"/>
      <c r="F557" s="73"/>
      <c r="G557" s="73"/>
      <c r="H557" s="15" t="s">
        <v>1148</v>
      </c>
      <c r="I557" s="15" t="s">
        <v>1148</v>
      </c>
      <c r="J557" s="15" t="s">
        <v>1148</v>
      </c>
      <c r="K557" s="56">
        <f>SUM(K558:K560)</f>
        <v>0</v>
      </c>
      <c r="L557" s="56">
        <f>SUM(L558:L560)</f>
        <v>0</v>
      </c>
      <c r="M557" s="56">
        <f>SUM(M558:M560)</f>
        <v>0</v>
      </c>
      <c r="N557" s="21" t="s">
        <v>862</v>
      </c>
      <c r="O557" s="47" t="s">
        <v>862</v>
      </c>
      <c r="AI557" s="21" t="s">
        <v>1096</v>
      </c>
      <c r="AS557" s="56">
        <f>SUM(AJ558:AJ560)</f>
        <v>0</v>
      </c>
      <c r="AT557" s="56">
        <f>SUM(AK558:AK560)</f>
        <v>0</v>
      </c>
      <c r="AU557" s="56">
        <f>SUM(AL558:AL560)</f>
        <v>0</v>
      </c>
    </row>
    <row r="558" spans="1:64" ht="15" customHeight="1">
      <c r="A558" s="11" t="s">
        <v>1291</v>
      </c>
      <c r="B558" s="48" t="s">
        <v>1096</v>
      </c>
      <c r="C558" s="48" t="s">
        <v>873</v>
      </c>
      <c r="D558" s="61" t="s">
        <v>354</v>
      </c>
      <c r="E558" s="61"/>
      <c r="F558" s="61"/>
      <c r="G558" s="61"/>
      <c r="H558" s="48" t="s">
        <v>299</v>
      </c>
      <c r="I558" s="13">
        <v>10</v>
      </c>
      <c r="J558" s="13">
        <v>0</v>
      </c>
      <c r="K558" s="13">
        <f>I558*AO558</f>
        <v>0</v>
      </c>
      <c r="L558" s="13">
        <f>I558*AP558</f>
        <v>0</v>
      </c>
      <c r="M558" s="13">
        <f>I558*J558</f>
        <v>0</v>
      </c>
      <c r="N558" s="13">
        <v>0</v>
      </c>
      <c r="O558" s="10" t="s">
        <v>851</v>
      </c>
      <c r="Z558" s="13">
        <f>IF(AQ558="5",BJ558,0)</f>
        <v>0</v>
      </c>
      <c r="AB558" s="13">
        <f>IF(AQ558="1",BH558,0)</f>
        <v>0</v>
      </c>
      <c r="AC558" s="13">
        <f>IF(AQ558="1",BI558,0)</f>
        <v>0</v>
      </c>
      <c r="AD558" s="13">
        <f>IF(AQ558="7",BH558,0)</f>
        <v>0</v>
      </c>
      <c r="AE558" s="13">
        <f>IF(AQ558="7",BI558,0)</f>
        <v>0</v>
      </c>
      <c r="AF558" s="13">
        <f>IF(AQ558="2",BH558,0)</f>
        <v>0</v>
      </c>
      <c r="AG558" s="13">
        <f>IF(AQ558="2",BI558,0)</f>
        <v>0</v>
      </c>
      <c r="AH558" s="13">
        <f>IF(AQ558="0",BJ558,0)</f>
        <v>0</v>
      </c>
      <c r="AI558" s="21" t="s">
        <v>1096</v>
      </c>
      <c r="AJ558" s="13">
        <f>IF(AN558=0,M558,0)</f>
        <v>0</v>
      </c>
      <c r="AK558" s="13">
        <f>IF(AN558=15,M558,0)</f>
        <v>0</v>
      </c>
      <c r="AL558" s="13">
        <f>IF(AN558=21,M558,0)</f>
        <v>0</v>
      </c>
      <c r="AN558" s="13">
        <v>21</v>
      </c>
      <c r="AO558" s="13">
        <f>J558*0</f>
        <v>0</v>
      </c>
      <c r="AP558" s="13">
        <f>J558*(1-0)</f>
        <v>0</v>
      </c>
      <c r="AQ558" s="32" t="s">
        <v>1231</v>
      </c>
      <c r="AV558" s="13">
        <f>AW558+AX558</f>
        <v>0</v>
      </c>
      <c r="AW558" s="13">
        <f>I558*AO558</f>
        <v>0</v>
      </c>
      <c r="AX558" s="13">
        <f>I558*AP558</f>
        <v>0</v>
      </c>
      <c r="AY558" s="32" t="s">
        <v>1084</v>
      </c>
      <c r="AZ558" s="32" t="s">
        <v>738</v>
      </c>
      <c r="BA558" s="21" t="s">
        <v>464</v>
      </c>
      <c r="BC558" s="13">
        <f>AW558+AX558</f>
        <v>0</v>
      </c>
      <c r="BD558" s="13">
        <f>J558/(100-BE558)*100</f>
        <v>0</v>
      </c>
      <c r="BE558" s="13">
        <v>0</v>
      </c>
      <c r="BF558" s="13">
        <f>558</f>
        <v>558</v>
      </c>
      <c r="BH558" s="13">
        <f>I558*AO558</f>
        <v>0</v>
      </c>
      <c r="BI558" s="13">
        <f>I558*AP558</f>
        <v>0</v>
      </c>
      <c r="BJ558" s="13">
        <f>I558*J558</f>
        <v>0</v>
      </c>
      <c r="BK558" s="13"/>
      <c r="BL558" s="13">
        <v>96</v>
      </c>
    </row>
    <row r="559" spans="1:64" ht="15" customHeight="1">
      <c r="A559" s="11" t="s">
        <v>1379</v>
      </c>
      <c r="B559" s="48" t="s">
        <v>1096</v>
      </c>
      <c r="C559" s="48" t="s">
        <v>860</v>
      </c>
      <c r="D559" s="61" t="s">
        <v>1011</v>
      </c>
      <c r="E559" s="61"/>
      <c r="F559" s="61"/>
      <c r="G559" s="61"/>
      <c r="H559" s="48" t="s">
        <v>299</v>
      </c>
      <c r="I559" s="13">
        <v>10</v>
      </c>
      <c r="J559" s="13">
        <v>0</v>
      </c>
      <c r="K559" s="13">
        <f>I559*AO559</f>
        <v>0</v>
      </c>
      <c r="L559" s="13">
        <f>I559*AP559</f>
        <v>0</v>
      </c>
      <c r="M559" s="13">
        <f>I559*J559</f>
        <v>0</v>
      </c>
      <c r="N559" s="13">
        <v>0</v>
      </c>
      <c r="O559" s="10" t="s">
        <v>851</v>
      </c>
      <c r="Z559" s="13">
        <f>IF(AQ559="5",BJ559,0)</f>
        <v>0</v>
      </c>
      <c r="AB559" s="13">
        <f>IF(AQ559="1",BH559,0)</f>
        <v>0</v>
      </c>
      <c r="AC559" s="13">
        <f>IF(AQ559="1",BI559,0)</f>
        <v>0</v>
      </c>
      <c r="AD559" s="13">
        <f>IF(AQ559="7",BH559,0)</f>
        <v>0</v>
      </c>
      <c r="AE559" s="13">
        <f>IF(AQ559="7",BI559,0)</f>
        <v>0</v>
      </c>
      <c r="AF559" s="13">
        <f>IF(AQ559="2",BH559,0)</f>
        <v>0</v>
      </c>
      <c r="AG559" s="13">
        <f>IF(AQ559="2",BI559,0)</f>
        <v>0</v>
      </c>
      <c r="AH559" s="13">
        <f>IF(AQ559="0",BJ559,0)</f>
        <v>0</v>
      </c>
      <c r="AI559" s="21" t="s">
        <v>1096</v>
      </c>
      <c r="AJ559" s="13">
        <f>IF(AN559=0,M559,0)</f>
        <v>0</v>
      </c>
      <c r="AK559" s="13">
        <f>IF(AN559=15,M559,0)</f>
        <v>0</v>
      </c>
      <c r="AL559" s="13">
        <f>IF(AN559=21,M559,0)</f>
        <v>0</v>
      </c>
      <c r="AN559" s="13">
        <v>21</v>
      </c>
      <c r="AO559" s="13">
        <f>J559*0</f>
        <v>0</v>
      </c>
      <c r="AP559" s="13">
        <f>J559*(1-0)</f>
        <v>0</v>
      </c>
      <c r="AQ559" s="32" t="s">
        <v>1231</v>
      </c>
      <c r="AV559" s="13">
        <f>AW559+AX559</f>
        <v>0</v>
      </c>
      <c r="AW559" s="13">
        <f>I559*AO559</f>
        <v>0</v>
      </c>
      <c r="AX559" s="13">
        <f>I559*AP559</f>
        <v>0</v>
      </c>
      <c r="AY559" s="32" t="s">
        <v>1084</v>
      </c>
      <c r="AZ559" s="32" t="s">
        <v>738</v>
      </c>
      <c r="BA559" s="21" t="s">
        <v>464</v>
      </c>
      <c r="BC559" s="13">
        <f>AW559+AX559</f>
        <v>0</v>
      </c>
      <c r="BD559" s="13">
        <f>J559/(100-BE559)*100</f>
        <v>0</v>
      </c>
      <c r="BE559" s="13">
        <v>0</v>
      </c>
      <c r="BF559" s="13">
        <f>559</f>
        <v>559</v>
      </c>
      <c r="BH559" s="13">
        <f>I559*AO559</f>
        <v>0</v>
      </c>
      <c r="BI559" s="13">
        <f>I559*AP559</f>
        <v>0</v>
      </c>
      <c r="BJ559" s="13">
        <f>I559*J559</f>
        <v>0</v>
      </c>
      <c r="BK559" s="13"/>
      <c r="BL559" s="13">
        <v>96</v>
      </c>
    </row>
    <row r="560" spans="1:64" ht="15" customHeight="1">
      <c r="A560" s="11" t="s">
        <v>672</v>
      </c>
      <c r="B560" s="48" t="s">
        <v>1096</v>
      </c>
      <c r="C560" s="48" t="s">
        <v>449</v>
      </c>
      <c r="D560" s="61" t="s">
        <v>1057</v>
      </c>
      <c r="E560" s="61"/>
      <c r="F560" s="61"/>
      <c r="G560" s="61"/>
      <c r="H560" s="48" t="s">
        <v>299</v>
      </c>
      <c r="I560" s="13">
        <v>10</v>
      </c>
      <c r="J560" s="13">
        <v>0</v>
      </c>
      <c r="K560" s="13">
        <f>I560*AO560</f>
        <v>0</v>
      </c>
      <c r="L560" s="13">
        <f>I560*AP560</f>
        <v>0</v>
      </c>
      <c r="M560" s="13">
        <f>I560*J560</f>
        <v>0</v>
      </c>
      <c r="N560" s="13">
        <v>0</v>
      </c>
      <c r="O560" s="10" t="s">
        <v>851</v>
      </c>
      <c r="Z560" s="13">
        <f>IF(AQ560="5",BJ560,0)</f>
        <v>0</v>
      </c>
      <c r="AB560" s="13">
        <f>IF(AQ560="1",BH560,0)</f>
        <v>0</v>
      </c>
      <c r="AC560" s="13">
        <f>IF(AQ560="1",BI560,0)</f>
        <v>0</v>
      </c>
      <c r="AD560" s="13">
        <f>IF(AQ560="7",BH560,0)</f>
        <v>0</v>
      </c>
      <c r="AE560" s="13">
        <f>IF(AQ560="7",BI560,0)</f>
        <v>0</v>
      </c>
      <c r="AF560" s="13">
        <f>IF(AQ560="2",BH560,0)</f>
        <v>0</v>
      </c>
      <c r="AG560" s="13">
        <f>IF(AQ560="2",BI560,0)</f>
        <v>0</v>
      </c>
      <c r="AH560" s="13">
        <f>IF(AQ560="0",BJ560,0)</f>
        <v>0</v>
      </c>
      <c r="AI560" s="21" t="s">
        <v>1096</v>
      </c>
      <c r="AJ560" s="13">
        <f>IF(AN560=0,M560,0)</f>
        <v>0</v>
      </c>
      <c r="AK560" s="13">
        <f>IF(AN560=15,M560,0)</f>
        <v>0</v>
      </c>
      <c r="AL560" s="13">
        <f>IF(AN560=21,M560,0)</f>
        <v>0</v>
      </c>
      <c r="AN560" s="13">
        <v>21</v>
      </c>
      <c r="AO560" s="13">
        <f>J560*0</f>
        <v>0</v>
      </c>
      <c r="AP560" s="13">
        <f>J560*(1-0)</f>
        <v>0</v>
      </c>
      <c r="AQ560" s="32" t="s">
        <v>1231</v>
      </c>
      <c r="AV560" s="13">
        <f>AW560+AX560</f>
        <v>0</v>
      </c>
      <c r="AW560" s="13">
        <f>I560*AO560</f>
        <v>0</v>
      </c>
      <c r="AX560" s="13">
        <f>I560*AP560</f>
        <v>0</v>
      </c>
      <c r="AY560" s="32" t="s">
        <v>1084</v>
      </c>
      <c r="AZ560" s="32" t="s">
        <v>738</v>
      </c>
      <c r="BA560" s="21" t="s">
        <v>464</v>
      </c>
      <c r="BC560" s="13">
        <f>AW560+AX560</f>
        <v>0</v>
      </c>
      <c r="BD560" s="13">
        <f>J560/(100-BE560)*100</f>
        <v>0</v>
      </c>
      <c r="BE560" s="13">
        <v>0</v>
      </c>
      <c r="BF560" s="13">
        <f>560</f>
        <v>560</v>
      </c>
      <c r="BH560" s="13">
        <f>I560*AO560</f>
        <v>0</v>
      </c>
      <c r="BI560" s="13">
        <f>I560*AP560</f>
        <v>0</v>
      </c>
      <c r="BJ560" s="13">
        <f>I560*J560</f>
        <v>0</v>
      </c>
      <c r="BK560" s="13"/>
      <c r="BL560" s="13">
        <v>96</v>
      </c>
    </row>
    <row r="561" spans="1:47" ht="15" customHeight="1">
      <c r="A561" s="30" t="s">
        <v>862</v>
      </c>
      <c r="B561" s="18" t="s">
        <v>1096</v>
      </c>
      <c r="C561" s="18" t="s">
        <v>432</v>
      </c>
      <c r="D561" s="73" t="s">
        <v>632</v>
      </c>
      <c r="E561" s="73"/>
      <c r="F561" s="73"/>
      <c r="G561" s="73"/>
      <c r="H561" s="15" t="s">
        <v>1148</v>
      </c>
      <c r="I561" s="15" t="s">
        <v>1148</v>
      </c>
      <c r="J561" s="15" t="s">
        <v>1148</v>
      </c>
      <c r="K561" s="56">
        <f>SUM(K562:K564)</f>
        <v>0</v>
      </c>
      <c r="L561" s="56">
        <f>SUM(L562:L564)</f>
        <v>0</v>
      </c>
      <c r="M561" s="56">
        <f>SUM(M562:M564)</f>
        <v>0</v>
      </c>
      <c r="N561" s="21" t="s">
        <v>862</v>
      </c>
      <c r="O561" s="47" t="s">
        <v>862</v>
      </c>
      <c r="AI561" s="21" t="s">
        <v>1096</v>
      </c>
      <c r="AS561" s="56">
        <f>SUM(AJ562:AJ564)</f>
        <v>0</v>
      </c>
      <c r="AT561" s="56">
        <f>SUM(AK562:AK564)</f>
        <v>0</v>
      </c>
      <c r="AU561" s="56">
        <f>SUM(AL562:AL564)</f>
        <v>0</v>
      </c>
    </row>
    <row r="562" spans="1:64" ht="15" customHeight="1">
      <c r="A562" s="11" t="s">
        <v>1349</v>
      </c>
      <c r="B562" s="48" t="s">
        <v>1096</v>
      </c>
      <c r="C562" s="48" t="s">
        <v>316</v>
      </c>
      <c r="D562" s="61" t="s">
        <v>579</v>
      </c>
      <c r="E562" s="61"/>
      <c r="F562" s="61"/>
      <c r="G562" s="61"/>
      <c r="H562" s="48" t="s">
        <v>299</v>
      </c>
      <c r="I562" s="13">
        <v>3</v>
      </c>
      <c r="J562" s="13">
        <v>0</v>
      </c>
      <c r="K562" s="13">
        <f>I562*AO562</f>
        <v>0</v>
      </c>
      <c r="L562" s="13">
        <f>I562*AP562</f>
        <v>0</v>
      </c>
      <c r="M562" s="13">
        <f>I562*J562</f>
        <v>0</v>
      </c>
      <c r="N562" s="13">
        <v>0.045</v>
      </c>
      <c r="O562" s="10" t="s">
        <v>851</v>
      </c>
      <c r="Z562" s="13">
        <f>IF(AQ562="5",BJ562,0)</f>
        <v>0</v>
      </c>
      <c r="AB562" s="13">
        <f>IF(AQ562="1",BH562,0)</f>
        <v>0</v>
      </c>
      <c r="AC562" s="13">
        <f>IF(AQ562="1",BI562,0)</f>
        <v>0</v>
      </c>
      <c r="AD562" s="13">
        <f>IF(AQ562="7",BH562,0)</f>
        <v>0</v>
      </c>
      <c r="AE562" s="13">
        <f>IF(AQ562="7",BI562,0)</f>
        <v>0</v>
      </c>
      <c r="AF562" s="13">
        <f>IF(AQ562="2",BH562,0)</f>
        <v>0</v>
      </c>
      <c r="AG562" s="13">
        <f>IF(AQ562="2",BI562,0)</f>
        <v>0</v>
      </c>
      <c r="AH562" s="13">
        <f>IF(AQ562="0",BJ562,0)</f>
        <v>0</v>
      </c>
      <c r="AI562" s="21" t="s">
        <v>1096</v>
      </c>
      <c r="AJ562" s="13">
        <f>IF(AN562=0,M562,0)</f>
        <v>0</v>
      </c>
      <c r="AK562" s="13">
        <f>IF(AN562=15,M562,0)</f>
        <v>0</v>
      </c>
      <c r="AL562" s="13">
        <f>IF(AN562=21,M562,0)</f>
        <v>0</v>
      </c>
      <c r="AN562" s="13">
        <v>21</v>
      </c>
      <c r="AO562" s="13">
        <f>J562*1</f>
        <v>0</v>
      </c>
      <c r="AP562" s="13">
        <f>J562*(1-1)</f>
        <v>0</v>
      </c>
      <c r="AQ562" s="32" t="s">
        <v>1231</v>
      </c>
      <c r="AV562" s="13">
        <f>AW562+AX562</f>
        <v>0</v>
      </c>
      <c r="AW562" s="13">
        <f>I562*AO562</f>
        <v>0</v>
      </c>
      <c r="AX562" s="13">
        <f>I562*AP562</f>
        <v>0</v>
      </c>
      <c r="AY562" s="32" t="s">
        <v>392</v>
      </c>
      <c r="AZ562" s="32" t="s">
        <v>738</v>
      </c>
      <c r="BA562" s="21" t="s">
        <v>464</v>
      </c>
      <c r="BC562" s="13">
        <f>AW562+AX562</f>
        <v>0</v>
      </c>
      <c r="BD562" s="13">
        <f>J562/(100-BE562)*100</f>
        <v>0</v>
      </c>
      <c r="BE562" s="13">
        <v>0</v>
      </c>
      <c r="BF562" s="13">
        <f>562</f>
        <v>562</v>
      </c>
      <c r="BH562" s="13">
        <f>I562*AO562</f>
        <v>0</v>
      </c>
      <c r="BI562" s="13">
        <f>I562*AP562</f>
        <v>0</v>
      </c>
      <c r="BJ562" s="13">
        <f>I562*J562</f>
        <v>0</v>
      </c>
      <c r="BK562" s="13"/>
      <c r="BL562" s="13"/>
    </row>
    <row r="563" spans="1:64" ht="15" customHeight="1">
      <c r="A563" s="11" t="s">
        <v>490</v>
      </c>
      <c r="B563" s="48" t="s">
        <v>1096</v>
      </c>
      <c r="C563" s="48" t="s">
        <v>351</v>
      </c>
      <c r="D563" s="61" t="s">
        <v>595</v>
      </c>
      <c r="E563" s="61"/>
      <c r="F563" s="61"/>
      <c r="G563" s="61"/>
      <c r="H563" s="48" t="s">
        <v>553</v>
      </c>
      <c r="I563" s="13">
        <v>5509.19</v>
      </c>
      <c r="J563" s="13">
        <v>0</v>
      </c>
      <c r="K563" s="13">
        <f>I563*AO563</f>
        <v>0</v>
      </c>
      <c r="L563" s="13">
        <f>I563*AP563</f>
        <v>0</v>
      </c>
      <c r="M563" s="13">
        <f>I563*J563</f>
        <v>0</v>
      </c>
      <c r="N563" s="13">
        <v>0</v>
      </c>
      <c r="O563" s="10" t="s">
        <v>851</v>
      </c>
      <c r="Z563" s="13">
        <f>IF(AQ563="5",BJ563,0)</f>
        <v>0</v>
      </c>
      <c r="AB563" s="13">
        <f>IF(AQ563="1",BH563,0)</f>
        <v>0</v>
      </c>
      <c r="AC563" s="13">
        <f>IF(AQ563="1",BI563,0)</f>
        <v>0</v>
      </c>
      <c r="AD563" s="13">
        <f>IF(AQ563="7",BH563,0)</f>
        <v>0</v>
      </c>
      <c r="AE563" s="13">
        <f>IF(AQ563="7",BI563,0)</f>
        <v>0</v>
      </c>
      <c r="AF563" s="13">
        <f>IF(AQ563="2",BH563,0)</f>
        <v>0</v>
      </c>
      <c r="AG563" s="13">
        <f>IF(AQ563="2",BI563,0)</f>
        <v>0</v>
      </c>
      <c r="AH563" s="13">
        <f>IF(AQ563="0",BJ563,0)</f>
        <v>0</v>
      </c>
      <c r="AI563" s="21" t="s">
        <v>1096</v>
      </c>
      <c r="AJ563" s="13">
        <f>IF(AN563=0,M563,0)</f>
        <v>0</v>
      </c>
      <c r="AK563" s="13">
        <f>IF(AN563=15,M563,0)</f>
        <v>0</v>
      </c>
      <c r="AL563" s="13">
        <f>IF(AN563=21,M563,0)</f>
        <v>0</v>
      </c>
      <c r="AN563" s="13">
        <v>21</v>
      </c>
      <c r="AO563" s="13">
        <f>J563*0</f>
        <v>0</v>
      </c>
      <c r="AP563" s="13">
        <f>J563*(1-0)</f>
        <v>0</v>
      </c>
      <c r="AQ563" s="32" t="s">
        <v>654</v>
      </c>
      <c r="AV563" s="13">
        <f>AW563+AX563</f>
        <v>0</v>
      </c>
      <c r="AW563" s="13">
        <f>I563*AO563</f>
        <v>0</v>
      </c>
      <c r="AX563" s="13">
        <f>I563*AP563</f>
        <v>0</v>
      </c>
      <c r="AY563" s="32" t="s">
        <v>392</v>
      </c>
      <c r="AZ563" s="32" t="s">
        <v>738</v>
      </c>
      <c r="BA563" s="21" t="s">
        <v>464</v>
      </c>
      <c r="BC563" s="13">
        <f>AW563+AX563</f>
        <v>0</v>
      </c>
      <c r="BD563" s="13">
        <f>J563/(100-BE563)*100</f>
        <v>0</v>
      </c>
      <c r="BE563" s="13">
        <v>0</v>
      </c>
      <c r="BF563" s="13">
        <f>563</f>
        <v>563</v>
      </c>
      <c r="BH563" s="13">
        <f>I563*AO563</f>
        <v>0</v>
      </c>
      <c r="BI563" s="13">
        <f>I563*AP563</f>
        <v>0</v>
      </c>
      <c r="BJ563" s="13">
        <f>I563*J563</f>
        <v>0</v>
      </c>
      <c r="BK563" s="13"/>
      <c r="BL563" s="13"/>
    </row>
    <row r="564" spans="1:64" ht="15" customHeight="1">
      <c r="A564" s="11" t="s">
        <v>68</v>
      </c>
      <c r="B564" s="48" t="s">
        <v>1096</v>
      </c>
      <c r="C564" s="48" t="s">
        <v>1287</v>
      </c>
      <c r="D564" s="61" t="s">
        <v>229</v>
      </c>
      <c r="E564" s="61"/>
      <c r="F564" s="61"/>
      <c r="G564" s="61"/>
      <c r="H564" s="48" t="s">
        <v>299</v>
      </c>
      <c r="I564" s="13">
        <v>2</v>
      </c>
      <c r="J564" s="13">
        <v>0</v>
      </c>
      <c r="K564" s="13">
        <f>I564*AO564</f>
        <v>0</v>
      </c>
      <c r="L564" s="13">
        <f>I564*AP564</f>
        <v>0</v>
      </c>
      <c r="M564" s="13">
        <f>I564*J564</f>
        <v>0</v>
      </c>
      <c r="N564" s="13">
        <v>0.0031</v>
      </c>
      <c r="O564" s="10" t="s">
        <v>851</v>
      </c>
      <c r="Z564" s="13">
        <f>IF(AQ564="5",BJ564,0)</f>
        <v>0</v>
      </c>
      <c r="AB564" s="13">
        <f>IF(AQ564="1",BH564,0)</f>
        <v>0</v>
      </c>
      <c r="AC564" s="13">
        <f>IF(AQ564="1",BI564,0)</f>
        <v>0</v>
      </c>
      <c r="AD564" s="13">
        <f>IF(AQ564="7",BH564,0)</f>
        <v>0</v>
      </c>
      <c r="AE564" s="13">
        <f>IF(AQ564="7",BI564,0)</f>
        <v>0</v>
      </c>
      <c r="AF564" s="13">
        <f>IF(AQ564="2",BH564,0)</f>
        <v>0</v>
      </c>
      <c r="AG564" s="13">
        <f>IF(AQ564="2",BI564,0)</f>
        <v>0</v>
      </c>
      <c r="AH564" s="13">
        <f>IF(AQ564="0",BJ564,0)</f>
        <v>0</v>
      </c>
      <c r="AI564" s="21" t="s">
        <v>1096</v>
      </c>
      <c r="AJ564" s="13">
        <f>IF(AN564=0,M564,0)</f>
        <v>0</v>
      </c>
      <c r="AK564" s="13">
        <f>IF(AN564=15,M564,0)</f>
        <v>0</v>
      </c>
      <c r="AL564" s="13">
        <f>IF(AN564=21,M564,0)</f>
        <v>0</v>
      </c>
      <c r="AN564" s="13">
        <v>21</v>
      </c>
      <c r="AO564" s="13">
        <f>J564*1</f>
        <v>0</v>
      </c>
      <c r="AP564" s="13">
        <f>J564*(1-1)</f>
        <v>0</v>
      </c>
      <c r="AQ564" s="32" t="s">
        <v>1231</v>
      </c>
      <c r="AV564" s="13">
        <f>AW564+AX564</f>
        <v>0</v>
      </c>
      <c r="AW564" s="13">
        <f>I564*AO564</f>
        <v>0</v>
      </c>
      <c r="AX564" s="13">
        <f>I564*AP564</f>
        <v>0</v>
      </c>
      <c r="AY564" s="32" t="s">
        <v>392</v>
      </c>
      <c r="AZ564" s="32" t="s">
        <v>738</v>
      </c>
      <c r="BA564" s="21" t="s">
        <v>464</v>
      </c>
      <c r="BC564" s="13">
        <f>AW564+AX564</f>
        <v>0</v>
      </c>
      <c r="BD564" s="13">
        <f>J564/(100-BE564)*100</f>
        <v>0</v>
      </c>
      <c r="BE564" s="13">
        <v>0</v>
      </c>
      <c r="BF564" s="13">
        <f>564</f>
        <v>564</v>
      </c>
      <c r="BH564" s="13">
        <f>I564*AO564</f>
        <v>0</v>
      </c>
      <c r="BI564" s="13">
        <f>I564*AP564</f>
        <v>0</v>
      </c>
      <c r="BJ564" s="13">
        <f>I564*J564</f>
        <v>0</v>
      </c>
      <c r="BK564" s="13"/>
      <c r="BL564" s="13"/>
    </row>
    <row r="565" spans="1:47" ht="15" customHeight="1">
      <c r="A565" s="30" t="s">
        <v>862</v>
      </c>
      <c r="B565" s="18" t="s">
        <v>1096</v>
      </c>
      <c r="C565" s="18" t="s">
        <v>726</v>
      </c>
      <c r="D565" s="73" t="s">
        <v>772</v>
      </c>
      <c r="E565" s="73"/>
      <c r="F565" s="73"/>
      <c r="G565" s="73"/>
      <c r="H565" s="15" t="s">
        <v>1148</v>
      </c>
      <c r="I565" s="15" t="s">
        <v>1148</v>
      </c>
      <c r="J565" s="15" t="s">
        <v>1148</v>
      </c>
      <c r="K565" s="56">
        <f>SUM(K566:K566)</f>
        <v>0</v>
      </c>
      <c r="L565" s="56">
        <f>SUM(L566:L566)</f>
        <v>0</v>
      </c>
      <c r="M565" s="56">
        <f>SUM(M566:M566)</f>
        <v>0</v>
      </c>
      <c r="N565" s="21" t="s">
        <v>862</v>
      </c>
      <c r="O565" s="47" t="s">
        <v>862</v>
      </c>
      <c r="AI565" s="21" t="s">
        <v>1096</v>
      </c>
      <c r="AS565" s="56">
        <f>SUM(AJ566:AJ566)</f>
        <v>0</v>
      </c>
      <c r="AT565" s="56">
        <f>SUM(AK566:AK566)</f>
        <v>0</v>
      </c>
      <c r="AU565" s="56">
        <f>SUM(AL566:AL566)</f>
        <v>0</v>
      </c>
    </row>
    <row r="566" spans="1:64" ht="15" customHeight="1">
      <c r="A566" s="11" t="s">
        <v>703</v>
      </c>
      <c r="B566" s="48" t="s">
        <v>1096</v>
      </c>
      <c r="C566" s="48" t="s">
        <v>186</v>
      </c>
      <c r="D566" s="61" t="s">
        <v>1081</v>
      </c>
      <c r="E566" s="61"/>
      <c r="F566" s="61"/>
      <c r="G566" s="61"/>
      <c r="H566" s="48" t="s">
        <v>1195</v>
      </c>
      <c r="I566" s="13">
        <v>311.5</v>
      </c>
      <c r="J566" s="13">
        <v>0</v>
      </c>
      <c r="K566" s="13">
        <f>I566*AO566</f>
        <v>0</v>
      </c>
      <c r="L566" s="13">
        <f>I566*AP566</f>
        <v>0</v>
      </c>
      <c r="M566" s="13">
        <f>I566*J566</f>
        <v>0</v>
      </c>
      <c r="N566" s="13">
        <v>0</v>
      </c>
      <c r="O566" s="10" t="s">
        <v>851</v>
      </c>
      <c r="Z566" s="13">
        <f>IF(AQ566="5",BJ566,0)</f>
        <v>0</v>
      </c>
      <c r="AB566" s="13">
        <f>IF(AQ566="1",BH566,0)</f>
        <v>0</v>
      </c>
      <c r="AC566" s="13">
        <f>IF(AQ566="1",BI566,0)</f>
        <v>0</v>
      </c>
      <c r="AD566" s="13">
        <f>IF(AQ566="7",BH566,0)</f>
        <v>0</v>
      </c>
      <c r="AE566" s="13">
        <f>IF(AQ566="7",BI566,0)</f>
        <v>0</v>
      </c>
      <c r="AF566" s="13">
        <f>IF(AQ566="2",BH566,0)</f>
        <v>0</v>
      </c>
      <c r="AG566" s="13">
        <f>IF(AQ566="2",BI566,0)</f>
        <v>0</v>
      </c>
      <c r="AH566" s="13">
        <f>IF(AQ566="0",BJ566,0)</f>
        <v>0</v>
      </c>
      <c r="AI566" s="21" t="s">
        <v>1096</v>
      </c>
      <c r="AJ566" s="13">
        <f>IF(AN566=0,M566,0)</f>
        <v>0</v>
      </c>
      <c r="AK566" s="13">
        <f>IF(AN566=15,M566,0)</f>
        <v>0</v>
      </c>
      <c r="AL566" s="13">
        <f>IF(AN566=21,M566,0)</f>
        <v>0</v>
      </c>
      <c r="AN566" s="13">
        <v>21</v>
      </c>
      <c r="AO566" s="13">
        <f>J566*0</f>
        <v>0</v>
      </c>
      <c r="AP566" s="13">
        <f>J566*(1-0)</f>
        <v>0</v>
      </c>
      <c r="AQ566" s="32" t="s">
        <v>857</v>
      </c>
      <c r="AV566" s="13">
        <f>AW566+AX566</f>
        <v>0</v>
      </c>
      <c r="AW566" s="13">
        <f>I566*AO566</f>
        <v>0</v>
      </c>
      <c r="AX566" s="13">
        <f>I566*AP566</f>
        <v>0</v>
      </c>
      <c r="AY566" s="32" t="s">
        <v>1082</v>
      </c>
      <c r="AZ566" s="32" t="s">
        <v>738</v>
      </c>
      <c r="BA566" s="21" t="s">
        <v>464</v>
      </c>
      <c r="BC566" s="13">
        <f>AW566+AX566</f>
        <v>0</v>
      </c>
      <c r="BD566" s="13">
        <f>J566/(100-BE566)*100</f>
        <v>0</v>
      </c>
      <c r="BE566" s="13">
        <v>0</v>
      </c>
      <c r="BF566" s="13">
        <f>566</f>
        <v>566</v>
      </c>
      <c r="BH566" s="13">
        <f>I566*AO566</f>
        <v>0</v>
      </c>
      <c r="BI566" s="13">
        <f>I566*AP566</f>
        <v>0</v>
      </c>
      <c r="BJ566" s="13">
        <f>I566*J566</f>
        <v>0</v>
      </c>
      <c r="BK566" s="13"/>
      <c r="BL566" s="13"/>
    </row>
    <row r="567" spans="1:47" ht="15" customHeight="1">
      <c r="A567" s="30" t="s">
        <v>862</v>
      </c>
      <c r="B567" s="18" t="s">
        <v>1096</v>
      </c>
      <c r="C567" s="18" t="s">
        <v>396</v>
      </c>
      <c r="D567" s="73" t="s">
        <v>517</v>
      </c>
      <c r="E567" s="73"/>
      <c r="F567" s="73"/>
      <c r="G567" s="73"/>
      <c r="H567" s="15" t="s">
        <v>1148</v>
      </c>
      <c r="I567" s="15" t="s">
        <v>1148</v>
      </c>
      <c r="J567" s="15" t="s">
        <v>1148</v>
      </c>
      <c r="K567" s="56">
        <f>SUM(K568:K572)</f>
        <v>0</v>
      </c>
      <c r="L567" s="56">
        <f>SUM(L568:L572)</f>
        <v>0</v>
      </c>
      <c r="M567" s="56">
        <f>SUM(M568:M572)</f>
        <v>0</v>
      </c>
      <c r="N567" s="21" t="s">
        <v>862</v>
      </c>
      <c r="O567" s="47" t="s">
        <v>862</v>
      </c>
      <c r="AI567" s="21" t="s">
        <v>1096</v>
      </c>
      <c r="AS567" s="56">
        <f>SUM(AJ568:AJ572)</f>
        <v>0</v>
      </c>
      <c r="AT567" s="56">
        <f>SUM(AK568:AK572)</f>
        <v>0</v>
      </c>
      <c r="AU567" s="56">
        <f>SUM(AL568:AL572)</f>
        <v>0</v>
      </c>
    </row>
    <row r="568" spans="1:64" ht="15" customHeight="1">
      <c r="A568" s="11" t="s">
        <v>631</v>
      </c>
      <c r="B568" s="48" t="s">
        <v>1096</v>
      </c>
      <c r="C568" s="48" t="s">
        <v>817</v>
      </c>
      <c r="D568" s="61" t="s">
        <v>527</v>
      </c>
      <c r="E568" s="61"/>
      <c r="F568" s="61"/>
      <c r="G568" s="61"/>
      <c r="H568" s="48" t="s">
        <v>553</v>
      </c>
      <c r="I568" s="13">
        <v>10540.5008</v>
      </c>
      <c r="J568" s="13">
        <v>0</v>
      </c>
      <c r="K568" s="13">
        <f>I568*AO568</f>
        <v>0</v>
      </c>
      <c r="L568" s="13">
        <f>I568*AP568</f>
        <v>0</v>
      </c>
      <c r="M568" s="13">
        <f>I568*J568</f>
        <v>0</v>
      </c>
      <c r="N568" s="13">
        <v>0</v>
      </c>
      <c r="O568" s="10" t="s">
        <v>851</v>
      </c>
      <c r="Z568" s="13">
        <f>IF(AQ568="5",BJ568,0)</f>
        <v>0</v>
      </c>
      <c r="AB568" s="13">
        <f>IF(AQ568="1",BH568,0)</f>
        <v>0</v>
      </c>
      <c r="AC568" s="13">
        <f>IF(AQ568="1",BI568,0)</f>
        <v>0</v>
      </c>
      <c r="AD568" s="13">
        <f>IF(AQ568="7",BH568,0)</f>
        <v>0</v>
      </c>
      <c r="AE568" s="13">
        <f>IF(AQ568="7",BI568,0)</f>
        <v>0</v>
      </c>
      <c r="AF568" s="13">
        <f>IF(AQ568="2",BH568,0)</f>
        <v>0</v>
      </c>
      <c r="AG568" s="13">
        <f>IF(AQ568="2",BI568,0)</f>
        <v>0</v>
      </c>
      <c r="AH568" s="13">
        <f>IF(AQ568="0",BJ568,0)</f>
        <v>0</v>
      </c>
      <c r="AI568" s="21" t="s">
        <v>1096</v>
      </c>
      <c r="AJ568" s="13">
        <f>IF(AN568=0,M568,0)</f>
        <v>0</v>
      </c>
      <c r="AK568" s="13">
        <f>IF(AN568=15,M568,0)</f>
        <v>0</v>
      </c>
      <c r="AL568" s="13">
        <f>IF(AN568=21,M568,0)</f>
        <v>0</v>
      </c>
      <c r="AN568" s="13">
        <v>21</v>
      </c>
      <c r="AO568" s="13">
        <f>J568*0</f>
        <v>0</v>
      </c>
      <c r="AP568" s="13">
        <f>J568*(1-0)</f>
        <v>0</v>
      </c>
      <c r="AQ568" s="32" t="s">
        <v>654</v>
      </c>
      <c r="AV568" s="13">
        <f>AW568+AX568</f>
        <v>0</v>
      </c>
      <c r="AW568" s="13">
        <f>I568*AO568</f>
        <v>0</v>
      </c>
      <c r="AX568" s="13">
        <f>I568*AP568</f>
        <v>0</v>
      </c>
      <c r="AY568" s="32" t="s">
        <v>494</v>
      </c>
      <c r="AZ568" s="32" t="s">
        <v>738</v>
      </c>
      <c r="BA568" s="21" t="s">
        <v>464</v>
      </c>
      <c r="BC568" s="13">
        <f>AW568+AX568</f>
        <v>0</v>
      </c>
      <c r="BD568" s="13">
        <f>J568/(100-BE568)*100</f>
        <v>0</v>
      </c>
      <c r="BE568" s="13">
        <v>0</v>
      </c>
      <c r="BF568" s="13">
        <f>568</f>
        <v>568</v>
      </c>
      <c r="BH568" s="13">
        <f>I568*AO568</f>
        <v>0</v>
      </c>
      <c r="BI568" s="13">
        <f>I568*AP568</f>
        <v>0</v>
      </c>
      <c r="BJ568" s="13">
        <f>I568*J568</f>
        <v>0</v>
      </c>
      <c r="BK568" s="13"/>
      <c r="BL568" s="13"/>
    </row>
    <row r="569" spans="1:64" ht="15" customHeight="1">
      <c r="A569" s="11" t="s">
        <v>286</v>
      </c>
      <c r="B569" s="48" t="s">
        <v>1096</v>
      </c>
      <c r="C569" s="48" t="s">
        <v>855</v>
      </c>
      <c r="D569" s="61" t="s">
        <v>508</v>
      </c>
      <c r="E569" s="61"/>
      <c r="F569" s="61"/>
      <c r="G569" s="61"/>
      <c r="H569" s="48" t="s">
        <v>553</v>
      </c>
      <c r="I569" s="13">
        <v>296.34</v>
      </c>
      <c r="J569" s="13">
        <v>0</v>
      </c>
      <c r="K569" s="13">
        <f>I569*AO569</f>
        <v>0</v>
      </c>
      <c r="L569" s="13">
        <f>I569*AP569</f>
        <v>0</v>
      </c>
      <c r="M569" s="13">
        <f>I569*J569</f>
        <v>0</v>
      </c>
      <c r="N569" s="13">
        <v>0</v>
      </c>
      <c r="O569" s="10" t="s">
        <v>851</v>
      </c>
      <c r="Z569" s="13">
        <f>IF(AQ569="5",BJ569,0)</f>
        <v>0</v>
      </c>
      <c r="AB569" s="13">
        <f>IF(AQ569="1",BH569,0)</f>
        <v>0</v>
      </c>
      <c r="AC569" s="13">
        <f>IF(AQ569="1",BI569,0)</f>
        <v>0</v>
      </c>
      <c r="AD569" s="13">
        <f>IF(AQ569="7",BH569,0)</f>
        <v>0</v>
      </c>
      <c r="AE569" s="13">
        <f>IF(AQ569="7",BI569,0)</f>
        <v>0</v>
      </c>
      <c r="AF569" s="13">
        <f>IF(AQ569="2",BH569,0)</f>
        <v>0</v>
      </c>
      <c r="AG569" s="13">
        <f>IF(AQ569="2",BI569,0)</f>
        <v>0</v>
      </c>
      <c r="AH569" s="13">
        <f>IF(AQ569="0",BJ569,0)</f>
        <v>0</v>
      </c>
      <c r="AI569" s="21" t="s">
        <v>1096</v>
      </c>
      <c r="AJ569" s="13">
        <f>IF(AN569=0,M569,0)</f>
        <v>0</v>
      </c>
      <c r="AK569" s="13">
        <f>IF(AN569=15,M569,0)</f>
        <v>0</v>
      </c>
      <c r="AL569" s="13">
        <f>IF(AN569=21,M569,0)</f>
        <v>0</v>
      </c>
      <c r="AN569" s="13">
        <v>21</v>
      </c>
      <c r="AO569" s="13">
        <f>J569*0</f>
        <v>0</v>
      </c>
      <c r="AP569" s="13">
        <f>J569*(1-0)</f>
        <v>0</v>
      </c>
      <c r="AQ569" s="32" t="s">
        <v>654</v>
      </c>
      <c r="AV569" s="13">
        <f>AW569+AX569</f>
        <v>0</v>
      </c>
      <c r="AW569" s="13">
        <f>I569*AO569</f>
        <v>0</v>
      </c>
      <c r="AX569" s="13">
        <f>I569*AP569</f>
        <v>0</v>
      </c>
      <c r="AY569" s="32" t="s">
        <v>494</v>
      </c>
      <c r="AZ569" s="32" t="s">
        <v>738</v>
      </c>
      <c r="BA569" s="21" t="s">
        <v>464</v>
      </c>
      <c r="BC569" s="13">
        <f>AW569+AX569</f>
        <v>0</v>
      </c>
      <c r="BD569" s="13">
        <f>J569/(100-BE569)*100</f>
        <v>0</v>
      </c>
      <c r="BE569" s="13">
        <v>0</v>
      </c>
      <c r="BF569" s="13">
        <f>569</f>
        <v>569</v>
      </c>
      <c r="BH569" s="13">
        <f>I569*AO569</f>
        <v>0</v>
      </c>
      <c r="BI569" s="13">
        <f>I569*AP569</f>
        <v>0</v>
      </c>
      <c r="BJ569" s="13">
        <f>I569*J569</f>
        <v>0</v>
      </c>
      <c r="BK569" s="13"/>
      <c r="BL569" s="13"/>
    </row>
    <row r="570" spans="1:64" ht="15" customHeight="1">
      <c r="A570" s="11" t="s">
        <v>736</v>
      </c>
      <c r="B570" s="48" t="s">
        <v>1096</v>
      </c>
      <c r="C570" s="48" t="s">
        <v>855</v>
      </c>
      <c r="D570" s="61" t="s">
        <v>508</v>
      </c>
      <c r="E570" s="61"/>
      <c r="F570" s="61"/>
      <c r="G570" s="61"/>
      <c r="H570" s="48" t="s">
        <v>553</v>
      </c>
      <c r="I570" s="13">
        <v>985</v>
      </c>
      <c r="J570" s="13">
        <v>0</v>
      </c>
      <c r="K570" s="13">
        <f>I570*AO570</f>
        <v>0</v>
      </c>
      <c r="L570" s="13">
        <f>I570*AP570</f>
        <v>0</v>
      </c>
      <c r="M570" s="13">
        <f>I570*J570</f>
        <v>0</v>
      </c>
      <c r="N570" s="13">
        <v>0</v>
      </c>
      <c r="O570" s="10" t="s">
        <v>851</v>
      </c>
      <c r="Z570" s="13">
        <f>IF(AQ570="5",BJ570,0)</f>
        <v>0</v>
      </c>
      <c r="AB570" s="13">
        <f>IF(AQ570="1",BH570,0)</f>
        <v>0</v>
      </c>
      <c r="AC570" s="13">
        <f>IF(AQ570="1",BI570,0)</f>
        <v>0</v>
      </c>
      <c r="AD570" s="13">
        <f>IF(AQ570="7",BH570,0)</f>
        <v>0</v>
      </c>
      <c r="AE570" s="13">
        <f>IF(AQ570="7",BI570,0)</f>
        <v>0</v>
      </c>
      <c r="AF570" s="13">
        <f>IF(AQ570="2",BH570,0)</f>
        <v>0</v>
      </c>
      <c r="AG570" s="13">
        <f>IF(AQ570="2",BI570,0)</f>
        <v>0</v>
      </c>
      <c r="AH570" s="13">
        <f>IF(AQ570="0",BJ570,0)</f>
        <v>0</v>
      </c>
      <c r="AI570" s="21" t="s">
        <v>1096</v>
      </c>
      <c r="AJ570" s="13">
        <f>IF(AN570=0,M570,0)</f>
        <v>0</v>
      </c>
      <c r="AK570" s="13">
        <f>IF(AN570=15,M570,0)</f>
        <v>0</v>
      </c>
      <c r="AL570" s="13">
        <f>IF(AN570=21,M570,0)</f>
        <v>0</v>
      </c>
      <c r="AN570" s="13">
        <v>21</v>
      </c>
      <c r="AO570" s="13">
        <f>J570*0</f>
        <v>0</v>
      </c>
      <c r="AP570" s="13">
        <f>J570*(1-0)</f>
        <v>0</v>
      </c>
      <c r="AQ570" s="32" t="s">
        <v>654</v>
      </c>
      <c r="AV570" s="13">
        <f>AW570+AX570</f>
        <v>0</v>
      </c>
      <c r="AW570" s="13">
        <f>I570*AO570</f>
        <v>0</v>
      </c>
      <c r="AX570" s="13">
        <f>I570*AP570</f>
        <v>0</v>
      </c>
      <c r="AY570" s="32" t="s">
        <v>494</v>
      </c>
      <c r="AZ570" s="32" t="s">
        <v>738</v>
      </c>
      <c r="BA570" s="21" t="s">
        <v>464</v>
      </c>
      <c r="BC570" s="13">
        <f>AW570+AX570</f>
        <v>0</v>
      </c>
      <c r="BD570" s="13">
        <f>J570/(100-BE570)*100</f>
        <v>0</v>
      </c>
      <c r="BE570" s="13">
        <v>0</v>
      </c>
      <c r="BF570" s="13">
        <f>570</f>
        <v>570</v>
      </c>
      <c r="BH570" s="13">
        <f>I570*AO570</f>
        <v>0</v>
      </c>
      <c r="BI570" s="13">
        <f>I570*AP570</f>
        <v>0</v>
      </c>
      <c r="BJ570" s="13">
        <f>I570*J570</f>
        <v>0</v>
      </c>
      <c r="BK570" s="13"/>
      <c r="BL570" s="13"/>
    </row>
    <row r="571" spans="1:64" ht="15" customHeight="1">
      <c r="A571" s="11" t="s">
        <v>41</v>
      </c>
      <c r="B571" s="48" t="s">
        <v>1096</v>
      </c>
      <c r="C571" s="48" t="s">
        <v>571</v>
      </c>
      <c r="D571" s="61" t="s">
        <v>101</v>
      </c>
      <c r="E571" s="61"/>
      <c r="F571" s="61"/>
      <c r="G571" s="61"/>
      <c r="H571" s="48" t="s">
        <v>553</v>
      </c>
      <c r="I571" s="13">
        <v>3360.83</v>
      </c>
      <c r="J571" s="13">
        <v>0</v>
      </c>
      <c r="K571" s="13">
        <f>I571*AO571</f>
        <v>0</v>
      </c>
      <c r="L571" s="13">
        <f>I571*AP571</f>
        <v>0</v>
      </c>
      <c r="M571" s="13">
        <f>I571*J571</f>
        <v>0</v>
      </c>
      <c r="N571" s="13">
        <v>0</v>
      </c>
      <c r="O571" s="10" t="s">
        <v>851</v>
      </c>
      <c r="Z571" s="13">
        <f>IF(AQ571="5",BJ571,0)</f>
        <v>0</v>
      </c>
      <c r="AB571" s="13">
        <f>IF(AQ571="1",BH571,0)</f>
        <v>0</v>
      </c>
      <c r="AC571" s="13">
        <f>IF(AQ571="1",BI571,0)</f>
        <v>0</v>
      </c>
      <c r="AD571" s="13">
        <f>IF(AQ571="7",BH571,0)</f>
        <v>0</v>
      </c>
      <c r="AE571" s="13">
        <f>IF(AQ571="7",BI571,0)</f>
        <v>0</v>
      </c>
      <c r="AF571" s="13">
        <f>IF(AQ571="2",BH571,0)</f>
        <v>0</v>
      </c>
      <c r="AG571" s="13">
        <f>IF(AQ571="2",BI571,0)</f>
        <v>0</v>
      </c>
      <c r="AH571" s="13">
        <f>IF(AQ571="0",BJ571,0)</f>
        <v>0</v>
      </c>
      <c r="AI571" s="21" t="s">
        <v>1096</v>
      </c>
      <c r="AJ571" s="13">
        <f>IF(AN571=0,M571,0)</f>
        <v>0</v>
      </c>
      <c r="AK571" s="13">
        <f>IF(AN571=15,M571,0)</f>
        <v>0</v>
      </c>
      <c r="AL571" s="13">
        <f>IF(AN571=21,M571,0)</f>
        <v>0</v>
      </c>
      <c r="AN571" s="13">
        <v>21</v>
      </c>
      <c r="AO571" s="13">
        <f>J571*0</f>
        <v>0</v>
      </c>
      <c r="AP571" s="13">
        <f>J571*(1-0)</f>
        <v>0</v>
      </c>
      <c r="AQ571" s="32" t="s">
        <v>654</v>
      </c>
      <c r="AV571" s="13">
        <f>AW571+AX571</f>
        <v>0</v>
      </c>
      <c r="AW571" s="13">
        <f>I571*AO571</f>
        <v>0</v>
      </c>
      <c r="AX571" s="13">
        <f>I571*AP571</f>
        <v>0</v>
      </c>
      <c r="AY571" s="32" t="s">
        <v>494</v>
      </c>
      <c r="AZ571" s="32" t="s">
        <v>738</v>
      </c>
      <c r="BA571" s="21" t="s">
        <v>464</v>
      </c>
      <c r="BC571" s="13">
        <f>AW571+AX571</f>
        <v>0</v>
      </c>
      <c r="BD571" s="13">
        <f>J571/(100-BE571)*100</f>
        <v>0</v>
      </c>
      <c r="BE571" s="13">
        <v>0</v>
      </c>
      <c r="BF571" s="13">
        <f>571</f>
        <v>571</v>
      </c>
      <c r="BH571" s="13">
        <f>I571*AO571</f>
        <v>0</v>
      </c>
      <c r="BI571" s="13">
        <f>I571*AP571</f>
        <v>0</v>
      </c>
      <c r="BJ571" s="13">
        <f>I571*J571</f>
        <v>0</v>
      </c>
      <c r="BK571" s="13"/>
      <c r="BL571" s="13"/>
    </row>
    <row r="572" spans="1:64" ht="15" customHeight="1">
      <c r="A572" s="11" t="s">
        <v>1357</v>
      </c>
      <c r="B572" s="48" t="s">
        <v>1096</v>
      </c>
      <c r="C572" s="48" t="s">
        <v>244</v>
      </c>
      <c r="D572" s="61" t="s">
        <v>54</v>
      </c>
      <c r="E572" s="61"/>
      <c r="F572" s="61"/>
      <c r="G572" s="61"/>
      <c r="H572" s="48" t="s">
        <v>553</v>
      </c>
      <c r="I572" s="13">
        <v>628.08</v>
      </c>
      <c r="J572" s="13">
        <v>0</v>
      </c>
      <c r="K572" s="13">
        <f>I572*AO572</f>
        <v>0</v>
      </c>
      <c r="L572" s="13">
        <f>I572*AP572</f>
        <v>0</v>
      </c>
      <c r="M572" s="13">
        <f>I572*J572</f>
        <v>0</v>
      </c>
      <c r="N572" s="13">
        <v>0</v>
      </c>
      <c r="O572" s="10" t="s">
        <v>851</v>
      </c>
      <c r="Z572" s="13">
        <f>IF(AQ572="5",BJ572,0)</f>
        <v>0</v>
      </c>
      <c r="AB572" s="13">
        <f>IF(AQ572="1",BH572,0)</f>
        <v>0</v>
      </c>
      <c r="AC572" s="13">
        <f>IF(AQ572="1",BI572,0)</f>
        <v>0</v>
      </c>
      <c r="AD572" s="13">
        <f>IF(AQ572="7",BH572,0)</f>
        <v>0</v>
      </c>
      <c r="AE572" s="13">
        <f>IF(AQ572="7",BI572,0)</f>
        <v>0</v>
      </c>
      <c r="AF572" s="13">
        <f>IF(AQ572="2",BH572,0)</f>
        <v>0</v>
      </c>
      <c r="AG572" s="13">
        <f>IF(AQ572="2",BI572,0)</f>
        <v>0</v>
      </c>
      <c r="AH572" s="13">
        <f>IF(AQ572="0",BJ572,0)</f>
        <v>0</v>
      </c>
      <c r="AI572" s="21" t="s">
        <v>1096</v>
      </c>
      <c r="AJ572" s="13">
        <f>IF(AN572=0,M572,0)</f>
        <v>0</v>
      </c>
      <c r="AK572" s="13">
        <f>IF(AN572=15,M572,0)</f>
        <v>0</v>
      </c>
      <c r="AL572" s="13">
        <f>IF(AN572=21,M572,0)</f>
        <v>0</v>
      </c>
      <c r="AN572" s="13">
        <v>21</v>
      </c>
      <c r="AO572" s="13">
        <f>J572*0</f>
        <v>0</v>
      </c>
      <c r="AP572" s="13">
        <f>J572*(1-0)</f>
        <v>0</v>
      </c>
      <c r="AQ572" s="32" t="s">
        <v>654</v>
      </c>
      <c r="AV572" s="13">
        <f>AW572+AX572</f>
        <v>0</v>
      </c>
      <c r="AW572" s="13">
        <f>I572*AO572</f>
        <v>0</v>
      </c>
      <c r="AX572" s="13">
        <f>I572*AP572</f>
        <v>0</v>
      </c>
      <c r="AY572" s="32" t="s">
        <v>494</v>
      </c>
      <c r="AZ572" s="32" t="s">
        <v>738</v>
      </c>
      <c r="BA572" s="21" t="s">
        <v>464</v>
      </c>
      <c r="BC572" s="13">
        <f>AW572+AX572</f>
        <v>0</v>
      </c>
      <c r="BD572" s="13">
        <f>J572/(100-BE572)*100</f>
        <v>0</v>
      </c>
      <c r="BE572" s="13">
        <v>0</v>
      </c>
      <c r="BF572" s="13">
        <f>572</f>
        <v>572</v>
      </c>
      <c r="BH572" s="13">
        <f>I572*AO572</f>
        <v>0</v>
      </c>
      <c r="BI572" s="13">
        <f>I572*AP572</f>
        <v>0</v>
      </c>
      <c r="BJ572" s="13">
        <f>I572*J572</f>
        <v>0</v>
      </c>
      <c r="BK572" s="13"/>
      <c r="BL572" s="13"/>
    </row>
    <row r="573" spans="1:47" ht="15" customHeight="1">
      <c r="A573" s="30" t="s">
        <v>862</v>
      </c>
      <c r="B573" s="18" t="s">
        <v>1096</v>
      </c>
      <c r="C573" s="18" t="s">
        <v>862</v>
      </c>
      <c r="D573" s="73" t="s">
        <v>88</v>
      </c>
      <c r="E573" s="73"/>
      <c r="F573" s="73"/>
      <c r="G573" s="73"/>
      <c r="H573" s="15" t="s">
        <v>1148</v>
      </c>
      <c r="I573" s="15" t="s">
        <v>1148</v>
      </c>
      <c r="J573" s="15" t="s">
        <v>1148</v>
      </c>
      <c r="K573" s="56">
        <f>SUM(K574:K574)</f>
        <v>0</v>
      </c>
      <c r="L573" s="56">
        <f>SUM(L574:L574)</f>
        <v>0</v>
      </c>
      <c r="M573" s="56">
        <f>SUM(M574:M574)</f>
        <v>0</v>
      </c>
      <c r="N573" s="21" t="s">
        <v>862</v>
      </c>
      <c r="O573" s="47" t="s">
        <v>862</v>
      </c>
      <c r="AI573" s="21" t="s">
        <v>1096</v>
      </c>
      <c r="AS573" s="56">
        <f>SUM(AJ574:AJ574)</f>
        <v>0</v>
      </c>
      <c r="AT573" s="56">
        <f>SUM(AK574:AK574)</f>
        <v>0</v>
      </c>
      <c r="AU573" s="56">
        <f>SUM(AL574:AL574)</f>
        <v>0</v>
      </c>
    </row>
    <row r="574" spans="1:64" ht="15" customHeight="1">
      <c r="A574" s="11" t="s">
        <v>205</v>
      </c>
      <c r="B574" s="48" t="s">
        <v>1096</v>
      </c>
      <c r="C574" s="48" t="s">
        <v>360</v>
      </c>
      <c r="D574" s="61" t="s">
        <v>139</v>
      </c>
      <c r="E574" s="61"/>
      <c r="F574" s="61"/>
      <c r="G574" s="61"/>
      <c r="H574" s="48" t="s">
        <v>1216</v>
      </c>
      <c r="I574" s="13">
        <v>21</v>
      </c>
      <c r="J574" s="13">
        <v>0</v>
      </c>
      <c r="K574" s="13">
        <f>I574*AO574</f>
        <v>0</v>
      </c>
      <c r="L574" s="13">
        <f>I574*AP574</f>
        <v>0</v>
      </c>
      <c r="M574" s="13">
        <f>I574*J574</f>
        <v>0</v>
      </c>
      <c r="N574" s="13">
        <v>0.216</v>
      </c>
      <c r="O574" s="10" t="s">
        <v>851</v>
      </c>
      <c r="Z574" s="13">
        <f>IF(AQ574="5",BJ574,0)</f>
        <v>0</v>
      </c>
      <c r="AB574" s="13">
        <f>IF(AQ574="1",BH574,0)</f>
        <v>0</v>
      </c>
      <c r="AC574" s="13">
        <f>IF(AQ574="1",BI574,0)</f>
        <v>0</v>
      </c>
      <c r="AD574" s="13">
        <f>IF(AQ574="7",BH574,0)</f>
        <v>0</v>
      </c>
      <c r="AE574" s="13">
        <f>IF(AQ574="7",BI574,0)</f>
        <v>0</v>
      </c>
      <c r="AF574" s="13">
        <f>IF(AQ574="2",BH574,0)</f>
        <v>0</v>
      </c>
      <c r="AG574" s="13">
        <f>IF(AQ574="2",BI574,0)</f>
        <v>0</v>
      </c>
      <c r="AH574" s="13">
        <f>IF(AQ574="0",BJ574,0)</f>
        <v>0</v>
      </c>
      <c r="AI574" s="21" t="s">
        <v>1096</v>
      </c>
      <c r="AJ574" s="13">
        <f>IF(AN574=0,M574,0)</f>
        <v>0</v>
      </c>
      <c r="AK574" s="13">
        <f>IF(AN574=15,M574,0)</f>
        <v>0</v>
      </c>
      <c r="AL574" s="13">
        <f>IF(AN574=21,M574,0)</f>
        <v>0</v>
      </c>
      <c r="AN574" s="13">
        <v>21</v>
      </c>
      <c r="AO574" s="13">
        <f>J574*1</f>
        <v>0</v>
      </c>
      <c r="AP574" s="13">
        <f>J574*(1-1)</f>
        <v>0</v>
      </c>
      <c r="AQ574" s="32" t="s">
        <v>645</v>
      </c>
      <c r="AV574" s="13">
        <f>AW574+AX574</f>
        <v>0</v>
      </c>
      <c r="AW574" s="13">
        <f>I574*AO574</f>
        <v>0</v>
      </c>
      <c r="AX574" s="13">
        <f>I574*AP574</f>
        <v>0</v>
      </c>
      <c r="AY574" s="32" t="s">
        <v>255</v>
      </c>
      <c r="AZ574" s="32" t="s">
        <v>1080</v>
      </c>
      <c r="BA574" s="21" t="s">
        <v>464</v>
      </c>
      <c r="BC574" s="13">
        <f>AW574+AX574</f>
        <v>0</v>
      </c>
      <c r="BD574" s="13">
        <f>J574/(100-BE574)*100</f>
        <v>0</v>
      </c>
      <c r="BE574" s="13">
        <v>0</v>
      </c>
      <c r="BF574" s="13">
        <f>574</f>
        <v>574</v>
      </c>
      <c r="BH574" s="13">
        <f>I574*AO574</f>
        <v>0</v>
      </c>
      <c r="BI574" s="13">
        <f>I574*AP574</f>
        <v>0</v>
      </c>
      <c r="BJ574" s="13">
        <f>I574*J574</f>
        <v>0</v>
      </c>
      <c r="BK574" s="13"/>
      <c r="BL574" s="13"/>
    </row>
    <row r="575" spans="1:15" ht="13.5" customHeight="1">
      <c r="A575" s="39"/>
      <c r="C575" s="7" t="s">
        <v>106</v>
      </c>
      <c r="D575" s="74" t="s">
        <v>1078</v>
      </c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6"/>
    </row>
    <row r="576" spans="1:35" ht="15" customHeight="1">
      <c r="A576" s="30" t="s">
        <v>862</v>
      </c>
      <c r="B576" s="18" t="s">
        <v>1096</v>
      </c>
      <c r="C576" s="18" t="s">
        <v>862</v>
      </c>
      <c r="D576" s="73" t="s">
        <v>734</v>
      </c>
      <c r="E576" s="73"/>
      <c r="F576" s="73"/>
      <c r="G576" s="73"/>
      <c r="H576" s="15" t="s">
        <v>1148</v>
      </c>
      <c r="I576" s="15" t="s">
        <v>1148</v>
      </c>
      <c r="J576" s="15" t="s">
        <v>1148</v>
      </c>
      <c r="K576" s="56">
        <f>K577+K581+K583+K586+K588</f>
        <v>0</v>
      </c>
      <c r="L576" s="56">
        <f>L577+L581+L583+L586+L588</f>
        <v>0</v>
      </c>
      <c r="M576" s="56">
        <f>M577+M581+M583+M586+M588</f>
        <v>0</v>
      </c>
      <c r="N576" s="21" t="s">
        <v>862</v>
      </c>
      <c r="O576" s="47" t="s">
        <v>862</v>
      </c>
      <c r="AI576" s="21" t="s">
        <v>1096</v>
      </c>
    </row>
    <row r="577" spans="1:47" ht="15" customHeight="1">
      <c r="A577" s="30" t="s">
        <v>862</v>
      </c>
      <c r="B577" s="18" t="s">
        <v>1096</v>
      </c>
      <c r="C577" s="18" t="s">
        <v>918</v>
      </c>
      <c r="D577" s="73" t="s">
        <v>569</v>
      </c>
      <c r="E577" s="73"/>
      <c r="F577" s="73"/>
      <c r="G577" s="73"/>
      <c r="H577" s="15" t="s">
        <v>1148</v>
      </c>
      <c r="I577" s="15" t="s">
        <v>1148</v>
      </c>
      <c r="J577" s="15" t="s">
        <v>1148</v>
      </c>
      <c r="K577" s="56">
        <f>SUM(K578:K580)</f>
        <v>0</v>
      </c>
      <c r="L577" s="56">
        <f>SUM(L578:L580)</f>
        <v>0</v>
      </c>
      <c r="M577" s="56">
        <f>SUM(M578:M580)</f>
        <v>0</v>
      </c>
      <c r="N577" s="21" t="s">
        <v>862</v>
      </c>
      <c r="O577" s="47" t="s">
        <v>862</v>
      </c>
      <c r="AI577" s="21" t="s">
        <v>1096</v>
      </c>
      <c r="AS577" s="56">
        <f>SUM(AJ578:AJ580)</f>
        <v>0</v>
      </c>
      <c r="AT577" s="56">
        <f>SUM(AK578:AK580)</f>
        <v>0</v>
      </c>
      <c r="AU577" s="56">
        <f>SUM(AL578:AL580)</f>
        <v>0</v>
      </c>
    </row>
    <row r="578" spans="1:65" ht="15" customHeight="1">
      <c r="A578" s="11" t="s">
        <v>729</v>
      </c>
      <c r="B578" s="48" t="s">
        <v>1096</v>
      </c>
      <c r="C578" s="48" t="s">
        <v>573</v>
      </c>
      <c r="D578" s="61" t="s">
        <v>952</v>
      </c>
      <c r="E578" s="61"/>
      <c r="F578" s="61"/>
      <c r="G578" s="61"/>
      <c r="H578" s="48" t="s">
        <v>835</v>
      </c>
      <c r="I578" s="13">
        <v>1</v>
      </c>
      <c r="J578" s="13">
        <v>0</v>
      </c>
      <c r="K578" s="13">
        <f>I578*AO578</f>
        <v>0</v>
      </c>
      <c r="L578" s="13">
        <f>I578*AP578</f>
        <v>0</v>
      </c>
      <c r="M578" s="13">
        <f>I578*J578</f>
        <v>0</v>
      </c>
      <c r="N578" s="13">
        <v>0</v>
      </c>
      <c r="O578" s="10" t="s">
        <v>851</v>
      </c>
      <c r="Z578" s="13">
        <f>IF(AQ578="5",BJ578,0)</f>
        <v>0</v>
      </c>
      <c r="AB578" s="13">
        <f>IF(AQ578="1",BH578,0)</f>
        <v>0</v>
      </c>
      <c r="AC578" s="13">
        <f>IF(AQ578="1",BI578,0)</f>
        <v>0</v>
      </c>
      <c r="AD578" s="13">
        <f>IF(AQ578="7",BH578,0)</f>
        <v>0</v>
      </c>
      <c r="AE578" s="13">
        <f>IF(AQ578="7",BI578,0)</f>
        <v>0</v>
      </c>
      <c r="AF578" s="13">
        <f>IF(AQ578="2",BH578,0)</f>
        <v>0</v>
      </c>
      <c r="AG578" s="13">
        <f>IF(AQ578="2",BI578,0)</f>
        <v>0</v>
      </c>
      <c r="AH578" s="13">
        <f>IF(AQ578="0",BJ578,0)</f>
        <v>0</v>
      </c>
      <c r="AI578" s="21" t="s">
        <v>1096</v>
      </c>
      <c r="AJ578" s="13">
        <f>IF(AN578=0,M578,0)</f>
        <v>0</v>
      </c>
      <c r="AK578" s="13">
        <f>IF(AN578=15,M578,0)</f>
        <v>0</v>
      </c>
      <c r="AL578" s="13">
        <f>IF(AN578=21,M578,0)</f>
        <v>0</v>
      </c>
      <c r="AN578" s="13">
        <v>21</v>
      </c>
      <c r="AO578" s="13">
        <f>J578*0</f>
        <v>0</v>
      </c>
      <c r="AP578" s="13">
        <f>J578*(1-0)</f>
        <v>0</v>
      </c>
      <c r="AQ578" s="32" t="s">
        <v>566</v>
      </c>
      <c r="AV578" s="13">
        <f>AW578+AX578</f>
        <v>0</v>
      </c>
      <c r="AW578" s="13">
        <f>I578*AO578</f>
        <v>0</v>
      </c>
      <c r="AX578" s="13">
        <f>I578*AP578</f>
        <v>0</v>
      </c>
      <c r="AY578" s="32" t="s">
        <v>582</v>
      </c>
      <c r="AZ578" s="32" t="s">
        <v>1194</v>
      </c>
      <c r="BA578" s="21" t="s">
        <v>464</v>
      </c>
      <c r="BC578" s="13">
        <f>AW578+AX578</f>
        <v>0</v>
      </c>
      <c r="BD578" s="13">
        <f>J578/(100-BE578)*100</f>
        <v>0</v>
      </c>
      <c r="BE578" s="13">
        <v>0</v>
      </c>
      <c r="BF578" s="13">
        <f>578</f>
        <v>578</v>
      </c>
      <c r="BH578" s="13">
        <f>I578*AO578</f>
        <v>0</v>
      </c>
      <c r="BI578" s="13">
        <f>I578*AP578</f>
        <v>0</v>
      </c>
      <c r="BJ578" s="13">
        <f>I578*J578</f>
        <v>0</v>
      </c>
      <c r="BK578" s="13"/>
      <c r="BL578" s="13"/>
      <c r="BM578" s="13">
        <f>I578*J578</f>
        <v>0</v>
      </c>
    </row>
    <row r="579" spans="1:65" ht="15" customHeight="1">
      <c r="A579" s="11" t="s">
        <v>1378</v>
      </c>
      <c r="B579" s="48" t="s">
        <v>1096</v>
      </c>
      <c r="C579" s="48" t="s">
        <v>869</v>
      </c>
      <c r="D579" s="61" t="s">
        <v>839</v>
      </c>
      <c r="E579" s="61"/>
      <c r="F579" s="61"/>
      <c r="G579" s="61"/>
      <c r="H579" s="48" t="s">
        <v>835</v>
      </c>
      <c r="I579" s="13">
        <v>1</v>
      </c>
      <c r="J579" s="13">
        <v>0</v>
      </c>
      <c r="K579" s="13">
        <f>I579*AO579</f>
        <v>0</v>
      </c>
      <c r="L579" s="13">
        <f>I579*AP579</f>
        <v>0</v>
      </c>
      <c r="M579" s="13">
        <f>I579*J579</f>
        <v>0</v>
      </c>
      <c r="N579" s="13">
        <v>0</v>
      </c>
      <c r="O579" s="10" t="s">
        <v>851</v>
      </c>
      <c r="Z579" s="13">
        <f>IF(AQ579="5",BJ579,0)</f>
        <v>0</v>
      </c>
      <c r="AB579" s="13">
        <f>IF(AQ579="1",BH579,0)</f>
        <v>0</v>
      </c>
      <c r="AC579" s="13">
        <f>IF(AQ579="1",BI579,0)</f>
        <v>0</v>
      </c>
      <c r="AD579" s="13">
        <f>IF(AQ579="7",BH579,0)</f>
        <v>0</v>
      </c>
      <c r="AE579" s="13">
        <f>IF(AQ579="7",BI579,0)</f>
        <v>0</v>
      </c>
      <c r="AF579" s="13">
        <f>IF(AQ579="2",BH579,0)</f>
        <v>0</v>
      </c>
      <c r="AG579" s="13">
        <f>IF(AQ579="2",BI579,0)</f>
        <v>0</v>
      </c>
      <c r="AH579" s="13">
        <f>IF(AQ579="0",BJ579,0)</f>
        <v>0</v>
      </c>
      <c r="AI579" s="21" t="s">
        <v>1096</v>
      </c>
      <c r="AJ579" s="13">
        <f>IF(AN579=0,M579,0)</f>
        <v>0</v>
      </c>
      <c r="AK579" s="13">
        <f>IF(AN579=15,M579,0)</f>
        <v>0</v>
      </c>
      <c r="AL579" s="13">
        <f>IF(AN579=21,M579,0)</f>
        <v>0</v>
      </c>
      <c r="AN579" s="13">
        <v>21</v>
      </c>
      <c r="AO579" s="13">
        <f>J579*0</f>
        <v>0</v>
      </c>
      <c r="AP579" s="13">
        <f>J579*(1-0)</f>
        <v>0</v>
      </c>
      <c r="AQ579" s="32" t="s">
        <v>566</v>
      </c>
      <c r="AV579" s="13">
        <f>AW579+AX579</f>
        <v>0</v>
      </c>
      <c r="AW579" s="13">
        <f>I579*AO579</f>
        <v>0</v>
      </c>
      <c r="AX579" s="13">
        <f>I579*AP579</f>
        <v>0</v>
      </c>
      <c r="AY579" s="32" t="s">
        <v>582</v>
      </c>
      <c r="AZ579" s="32" t="s">
        <v>1194</v>
      </c>
      <c r="BA579" s="21" t="s">
        <v>464</v>
      </c>
      <c r="BC579" s="13">
        <f>AW579+AX579</f>
        <v>0</v>
      </c>
      <c r="BD579" s="13">
        <f>J579/(100-BE579)*100</f>
        <v>0</v>
      </c>
      <c r="BE579" s="13">
        <v>0</v>
      </c>
      <c r="BF579" s="13">
        <f>579</f>
        <v>579</v>
      </c>
      <c r="BH579" s="13">
        <f>I579*AO579</f>
        <v>0</v>
      </c>
      <c r="BI579" s="13">
        <f>I579*AP579</f>
        <v>0</v>
      </c>
      <c r="BJ579" s="13">
        <f>I579*J579</f>
        <v>0</v>
      </c>
      <c r="BK579" s="13"/>
      <c r="BL579" s="13"/>
      <c r="BM579" s="13">
        <f>I579*J579</f>
        <v>0</v>
      </c>
    </row>
    <row r="580" spans="1:65" ht="15" customHeight="1">
      <c r="A580" s="11" t="s">
        <v>554</v>
      </c>
      <c r="B580" s="48" t="s">
        <v>1096</v>
      </c>
      <c r="C580" s="48" t="s">
        <v>869</v>
      </c>
      <c r="D580" s="61" t="s">
        <v>104</v>
      </c>
      <c r="E580" s="61"/>
      <c r="F580" s="61"/>
      <c r="G580" s="61"/>
      <c r="H580" s="48" t="s">
        <v>835</v>
      </c>
      <c r="I580" s="13">
        <v>1</v>
      </c>
      <c r="J580" s="13">
        <v>0</v>
      </c>
      <c r="K580" s="13">
        <f>I580*AO580</f>
        <v>0</v>
      </c>
      <c r="L580" s="13">
        <f>I580*AP580</f>
        <v>0</v>
      </c>
      <c r="M580" s="13">
        <f>I580*J580</f>
        <v>0</v>
      </c>
      <c r="N580" s="13">
        <v>0</v>
      </c>
      <c r="O580" s="10" t="s">
        <v>851</v>
      </c>
      <c r="Z580" s="13">
        <f>IF(AQ580="5",BJ580,0)</f>
        <v>0</v>
      </c>
      <c r="AB580" s="13">
        <f>IF(AQ580="1",BH580,0)</f>
        <v>0</v>
      </c>
      <c r="AC580" s="13">
        <f>IF(AQ580="1",BI580,0)</f>
        <v>0</v>
      </c>
      <c r="AD580" s="13">
        <f>IF(AQ580="7",BH580,0)</f>
        <v>0</v>
      </c>
      <c r="AE580" s="13">
        <f>IF(AQ580="7",BI580,0)</f>
        <v>0</v>
      </c>
      <c r="AF580" s="13">
        <f>IF(AQ580="2",BH580,0)</f>
        <v>0</v>
      </c>
      <c r="AG580" s="13">
        <f>IF(AQ580="2",BI580,0)</f>
        <v>0</v>
      </c>
      <c r="AH580" s="13">
        <f>IF(AQ580="0",BJ580,0)</f>
        <v>0</v>
      </c>
      <c r="AI580" s="21" t="s">
        <v>1096</v>
      </c>
      <c r="AJ580" s="13">
        <f>IF(AN580=0,M580,0)</f>
        <v>0</v>
      </c>
      <c r="AK580" s="13">
        <f>IF(AN580=15,M580,0)</f>
        <v>0</v>
      </c>
      <c r="AL580" s="13">
        <f>IF(AN580=21,M580,0)</f>
        <v>0</v>
      </c>
      <c r="AN580" s="13">
        <v>21</v>
      </c>
      <c r="AO580" s="13">
        <f>J580*0</f>
        <v>0</v>
      </c>
      <c r="AP580" s="13">
        <f>J580*(1-0)</f>
        <v>0</v>
      </c>
      <c r="AQ580" s="32" t="s">
        <v>566</v>
      </c>
      <c r="AV580" s="13">
        <f>AW580+AX580</f>
        <v>0</v>
      </c>
      <c r="AW580" s="13">
        <f>I580*AO580</f>
        <v>0</v>
      </c>
      <c r="AX580" s="13">
        <f>I580*AP580</f>
        <v>0</v>
      </c>
      <c r="AY580" s="32" t="s">
        <v>582</v>
      </c>
      <c r="AZ580" s="32" t="s">
        <v>1194</v>
      </c>
      <c r="BA580" s="21" t="s">
        <v>464</v>
      </c>
      <c r="BC580" s="13">
        <f>AW580+AX580</f>
        <v>0</v>
      </c>
      <c r="BD580" s="13">
        <f>J580/(100-BE580)*100</f>
        <v>0</v>
      </c>
      <c r="BE580" s="13">
        <v>0</v>
      </c>
      <c r="BF580" s="13">
        <f>580</f>
        <v>580</v>
      </c>
      <c r="BH580" s="13">
        <f>I580*AO580</f>
        <v>0</v>
      </c>
      <c r="BI580" s="13">
        <f>I580*AP580</f>
        <v>0</v>
      </c>
      <c r="BJ580" s="13">
        <f>I580*J580</f>
        <v>0</v>
      </c>
      <c r="BK580" s="13"/>
      <c r="BL580" s="13"/>
      <c r="BM580" s="13">
        <f>I580*J580</f>
        <v>0</v>
      </c>
    </row>
    <row r="581" spans="1:47" ht="15" customHeight="1">
      <c r="A581" s="30" t="s">
        <v>862</v>
      </c>
      <c r="B581" s="18" t="s">
        <v>1096</v>
      </c>
      <c r="C581" s="18" t="s">
        <v>409</v>
      </c>
      <c r="D581" s="73" t="s">
        <v>1061</v>
      </c>
      <c r="E581" s="73"/>
      <c r="F581" s="73"/>
      <c r="G581" s="73"/>
      <c r="H581" s="15" t="s">
        <v>1148</v>
      </c>
      <c r="I581" s="15" t="s">
        <v>1148</v>
      </c>
      <c r="J581" s="15" t="s">
        <v>1148</v>
      </c>
      <c r="K581" s="56">
        <f>SUM(K582:K582)</f>
        <v>0</v>
      </c>
      <c r="L581" s="56">
        <f>SUM(L582:L582)</f>
        <v>0</v>
      </c>
      <c r="M581" s="56">
        <f>SUM(M582:M582)</f>
        <v>0</v>
      </c>
      <c r="N581" s="21" t="s">
        <v>862</v>
      </c>
      <c r="O581" s="47" t="s">
        <v>862</v>
      </c>
      <c r="AI581" s="21" t="s">
        <v>1096</v>
      </c>
      <c r="AS581" s="56">
        <f>SUM(AJ582:AJ582)</f>
        <v>0</v>
      </c>
      <c r="AT581" s="56">
        <f>SUM(AK582:AK582)</f>
        <v>0</v>
      </c>
      <c r="AU581" s="56">
        <f>SUM(AL582:AL582)</f>
        <v>0</v>
      </c>
    </row>
    <row r="582" spans="1:66" ht="15" customHeight="1">
      <c r="A582" s="11" t="s">
        <v>747</v>
      </c>
      <c r="B582" s="48" t="s">
        <v>1096</v>
      </c>
      <c r="C582" s="48" t="s">
        <v>878</v>
      </c>
      <c r="D582" s="61" t="s">
        <v>677</v>
      </c>
      <c r="E582" s="61"/>
      <c r="F582" s="61"/>
      <c r="G582" s="61"/>
      <c r="H582" s="48" t="s">
        <v>835</v>
      </c>
      <c r="I582" s="13">
        <v>1</v>
      </c>
      <c r="J582" s="13">
        <v>0</v>
      </c>
      <c r="K582" s="13">
        <f>I582*AO582</f>
        <v>0</v>
      </c>
      <c r="L582" s="13">
        <f>I582*AP582</f>
        <v>0</v>
      </c>
      <c r="M582" s="13">
        <f>I582*J582</f>
        <v>0</v>
      </c>
      <c r="N582" s="13">
        <v>0</v>
      </c>
      <c r="O582" s="10" t="s">
        <v>851</v>
      </c>
      <c r="Z582" s="13">
        <f>IF(AQ582="5",BJ582,0)</f>
        <v>0</v>
      </c>
      <c r="AB582" s="13">
        <f>IF(AQ582="1",BH582,0)</f>
        <v>0</v>
      </c>
      <c r="AC582" s="13">
        <f>IF(AQ582="1",BI582,0)</f>
        <v>0</v>
      </c>
      <c r="AD582" s="13">
        <f>IF(AQ582="7",BH582,0)</f>
        <v>0</v>
      </c>
      <c r="AE582" s="13">
        <f>IF(AQ582="7",BI582,0)</f>
        <v>0</v>
      </c>
      <c r="AF582" s="13">
        <f>IF(AQ582="2",BH582,0)</f>
        <v>0</v>
      </c>
      <c r="AG582" s="13">
        <f>IF(AQ582="2",BI582,0)</f>
        <v>0</v>
      </c>
      <c r="AH582" s="13">
        <f>IF(AQ582="0",BJ582,0)</f>
        <v>0</v>
      </c>
      <c r="AI582" s="21" t="s">
        <v>1096</v>
      </c>
      <c r="AJ582" s="13">
        <f>IF(AN582=0,M582,0)</f>
        <v>0</v>
      </c>
      <c r="AK582" s="13">
        <f>IF(AN582=15,M582,0)</f>
        <v>0</v>
      </c>
      <c r="AL582" s="13">
        <f>IF(AN582=21,M582,0)</f>
        <v>0</v>
      </c>
      <c r="AN582" s="13">
        <v>21</v>
      </c>
      <c r="AO582" s="13">
        <f>J582*0</f>
        <v>0</v>
      </c>
      <c r="AP582" s="13">
        <f>J582*(1-0)</f>
        <v>0</v>
      </c>
      <c r="AQ582" s="32" t="s">
        <v>566</v>
      </c>
      <c r="AV582" s="13">
        <f>AW582+AX582</f>
        <v>0</v>
      </c>
      <c r="AW582" s="13">
        <f>I582*AO582</f>
        <v>0</v>
      </c>
      <c r="AX582" s="13">
        <f>I582*AP582</f>
        <v>0</v>
      </c>
      <c r="AY582" s="32" t="s">
        <v>189</v>
      </c>
      <c r="AZ582" s="32" t="s">
        <v>1194</v>
      </c>
      <c r="BA582" s="21" t="s">
        <v>464</v>
      </c>
      <c r="BC582" s="13">
        <f>AW582+AX582</f>
        <v>0</v>
      </c>
      <c r="BD582" s="13">
        <f>J582/(100-BE582)*100</f>
        <v>0</v>
      </c>
      <c r="BE582" s="13">
        <v>0</v>
      </c>
      <c r="BF582" s="13">
        <f>582</f>
        <v>582</v>
      </c>
      <c r="BH582" s="13">
        <f>I582*AO582</f>
        <v>0</v>
      </c>
      <c r="BI582" s="13">
        <f>I582*AP582</f>
        <v>0</v>
      </c>
      <c r="BJ582" s="13">
        <f>I582*J582</f>
        <v>0</v>
      </c>
      <c r="BK582" s="13"/>
      <c r="BL582" s="13"/>
      <c r="BN582" s="13">
        <f>I582*J582</f>
        <v>0</v>
      </c>
    </row>
    <row r="583" spans="1:47" ht="15" customHeight="1">
      <c r="A583" s="30" t="s">
        <v>862</v>
      </c>
      <c r="B583" s="18" t="s">
        <v>1096</v>
      </c>
      <c r="C583" s="18" t="s">
        <v>61</v>
      </c>
      <c r="D583" s="73" t="s">
        <v>126</v>
      </c>
      <c r="E583" s="73"/>
      <c r="F583" s="73"/>
      <c r="G583" s="73"/>
      <c r="H583" s="15" t="s">
        <v>1148</v>
      </c>
      <c r="I583" s="15" t="s">
        <v>1148</v>
      </c>
      <c r="J583" s="15" t="s">
        <v>1148</v>
      </c>
      <c r="K583" s="56">
        <f>SUM(K584:K585)</f>
        <v>0</v>
      </c>
      <c r="L583" s="56">
        <f>SUM(L584:L585)</f>
        <v>0</v>
      </c>
      <c r="M583" s="56">
        <f>SUM(M584:M585)</f>
        <v>0</v>
      </c>
      <c r="N583" s="21" t="s">
        <v>862</v>
      </c>
      <c r="O583" s="47" t="s">
        <v>862</v>
      </c>
      <c r="AI583" s="21" t="s">
        <v>1096</v>
      </c>
      <c r="AS583" s="56">
        <f>SUM(AJ584:AJ585)</f>
        <v>0</v>
      </c>
      <c r="AT583" s="56">
        <f>SUM(AK584:AK585)</f>
        <v>0</v>
      </c>
      <c r="AU583" s="56">
        <f>SUM(AL584:AL585)</f>
        <v>0</v>
      </c>
    </row>
    <row r="584" spans="1:67" ht="15" customHeight="1">
      <c r="A584" s="11" t="s">
        <v>245</v>
      </c>
      <c r="B584" s="48" t="s">
        <v>1096</v>
      </c>
      <c r="C584" s="48" t="s">
        <v>823</v>
      </c>
      <c r="D584" s="61" t="s">
        <v>126</v>
      </c>
      <c r="E584" s="61"/>
      <c r="F584" s="61"/>
      <c r="G584" s="61"/>
      <c r="H584" s="48" t="s">
        <v>835</v>
      </c>
      <c r="I584" s="13">
        <v>1</v>
      </c>
      <c r="J584" s="13">
        <v>0</v>
      </c>
      <c r="K584" s="13">
        <f>I584*AO584</f>
        <v>0</v>
      </c>
      <c r="L584" s="13">
        <f>I584*AP584</f>
        <v>0</v>
      </c>
      <c r="M584" s="13">
        <f>I584*J584</f>
        <v>0</v>
      </c>
      <c r="N584" s="13">
        <v>0</v>
      </c>
      <c r="O584" s="10" t="s">
        <v>851</v>
      </c>
      <c r="Z584" s="13">
        <f>IF(AQ584="5",BJ584,0)</f>
        <v>0</v>
      </c>
      <c r="AB584" s="13">
        <f>IF(AQ584="1",BH584,0)</f>
        <v>0</v>
      </c>
      <c r="AC584" s="13">
        <f>IF(AQ584="1",BI584,0)</f>
        <v>0</v>
      </c>
      <c r="AD584" s="13">
        <f>IF(AQ584="7",BH584,0)</f>
        <v>0</v>
      </c>
      <c r="AE584" s="13">
        <f>IF(AQ584="7",BI584,0)</f>
        <v>0</v>
      </c>
      <c r="AF584" s="13">
        <f>IF(AQ584="2",BH584,0)</f>
        <v>0</v>
      </c>
      <c r="AG584" s="13">
        <f>IF(AQ584="2",BI584,0)</f>
        <v>0</v>
      </c>
      <c r="AH584" s="13">
        <f>IF(AQ584="0",BJ584,0)</f>
        <v>0</v>
      </c>
      <c r="AI584" s="21" t="s">
        <v>1096</v>
      </c>
      <c r="AJ584" s="13">
        <f>IF(AN584=0,M584,0)</f>
        <v>0</v>
      </c>
      <c r="AK584" s="13">
        <f>IF(AN584=15,M584,0)</f>
        <v>0</v>
      </c>
      <c r="AL584" s="13">
        <f>IF(AN584=21,M584,0)</f>
        <v>0</v>
      </c>
      <c r="AN584" s="13">
        <v>21</v>
      </c>
      <c r="AO584" s="13">
        <f>J584*0</f>
        <v>0</v>
      </c>
      <c r="AP584" s="13">
        <f>J584*(1-0)</f>
        <v>0</v>
      </c>
      <c r="AQ584" s="32" t="s">
        <v>566</v>
      </c>
      <c r="AV584" s="13">
        <f>AW584+AX584</f>
        <v>0</v>
      </c>
      <c r="AW584" s="13">
        <f>I584*AO584</f>
        <v>0</v>
      </c>
      <c r="AX584" s="13">
        <f>I584*AP584</f>
        <v>0</v>
      </c>
      <c r="AY584" s="32" t="s">
        <v>278</v>
      </c>
      <c r="AZ584" s="32" t="s">
        <v>1194</v>
      </c>
      <c r="BA584" s="21" t="s">
        <v>464</v>
      </c>
      <c r="BC584" s="13">
        <f>AW584+AX584</f>
        <v>0</v>
      </c>
      <c r="BD584" s="13">
        <f>J584/(100-BE584)*100</f>
        <v>0</v>
      </c>
      <c r="BE584" s="13">
        <v>0</v>
      </c>
      <c r="BF584" s="13">
        <f>584</f>
        <v>584</v>
      </c>
      <c r="BH584" s="13">
        <f>I584*AO584</f>
        <v>0</v>
      </c>
      <c r="BI584" s="13">
        <f>I584*AP584</f>
        <v>0</v>
      </c>
      <c r="BJ584" s="13">
        <f>I584*J584</f>
        <v>0</v>
      </c>
      <c r="BK584" s="13"/>
      <c r="BL584" s="13"/>
      <c r="BO584" s="13">
        <f>I584*J584</f>
        <v>0</v>
      </c>
    </row>
    <row r="585" spans="1:67" ht="15" customHeight="1">
      <c r="A585" s="11" t="s">
        <v>1373</v>
      </c>
      <c r="B585" s="48" t="s">
        <v>1096</v>
      </c>
      <c r="C585" s="48" t="s">
        <v>221</v>
      </c>
      <c r="D585" s="61" t="s">
        <v>232</v>
      </c>
      <c r="E585" s="61"/>
      <c r="F585" s="61"/>
      <c r="G585" s="61"/>
      <c r="H585" s="48" t="s">
        <v>835</v>
      </c>
      <c r="I585" s="13">
        <v>1</v>
      </c>
      <c r="J585" s="13">
        <v>0</v>
      </c>
      <c r="K585" s="13">
        <f>I585*AO585</f>
        <v>0</v>
      </c>
      <c r="L585" s="13">
        <f>I585*AP585</f>
        <v>0</v>
      </c>
      <c r="M585" s="13">
        <f>I585*J585</f>
        <v>0</v>
      </c>
      <c r="N585" s="13">
        <v>0</v>
      </c>
      <c r="O585" s="10" t="s">
        <v>851</v>
      </c>
      <c r="Z585" s="13">
        <f>IF(AQ585="5",BJ585,0)</f>
        <v>0</v>
      </c>
      <c r="AB585" s="13">
        <f>IF(AQ585="1",BH585,0)</f>
        <v>0</v>
      </c>
      <c r="AC585" s="13">
        <f>IF(AQ585="1",BI585,0)</f>
        <v>0</v>
      </c>
      <c r="AD585" s="13">
        <f>IF(AQ585="7",BH585,0)</f>
        <v>0</v>
      </c>
      <c r="AE585" s="13">
        <f>IF(AQ585="7",BI585,0)</f>
        <v>0</v>
      </c>
      <c r="AF585" s="13">
        <f>IF(AQ585="2",BH585,0)</f>
        <v>0</v>
      </c>
      <c r="AG585" s="13">
        <f>IF(AQ585="2",BI585,0)</f>
        <v>0</v>
      </c>
      <c r="AH585" s="13">
        <f>IF(AQ585="0",BJ585,0)</f>
        <v>0</v>
      </c>
      <c r="AI585" s="21" t="s">
        <v>1096</v>
      </c>
      <c r="AJ585" s="13">
        <f>IF(AN585=0,M585,0)</f>
        <v>0</v>
      </c>
      <c r="AK585" s="13">
        <f>IF(AN585=15,M585,0)</f>
        <v>0</v>
      </c>
      <c r="AL585" s="13">
        <f>IF(AN585=21,M585,0)</f>
        <v>0</v>
      </c>
      <c r="AN585" s="13">
        <v>21</v>
      </c>
      <c r="AO585" s="13">
        <f>J585*0</f>
        <v>0</v>
      </c>
      <c r="AP585" s="13">
        <f>J585*(1-0)</f>
        <v>0</v>
      </c>
      <c r="AQ585" s="32" t="s">
        <v>566</v>
      </c>
      <c r="AV585" s="13">
        <f>AW585+AX585</f>
        <v>0</v>
      </c>
      <c r="AW585" s="13">
        <f>I585*AO585</f>
        <v>0</v>
      </c>
      <c r="AX585" s="13">
        <f>I585*AP585</f>
        <v>0</v>
      </c>
      <c r="AY585" s="32" t="s">
        <v>278</v>
      </c>
      <c r="AZ585" s="32" t="s">
        <v>1194</v>
      </c>
      <c r="BA585" s="21" t="s">
        <v>464</v>
      </c>
      <c r="BC585" s="13">
        <f>AW585+AX585</f>
        <v>0</v>
      </c>
      <c r="BD585" s="13">
        <f>J585/(100-BE585)*100</f>
        <v>0</v>
      </c>
      <c r="BE585" s="13">
        <v>0</v>
      </c>
      <c r="BF585" s="13">
        <f>585</f>
        <v>585</v>
      </c>
      <c r="BH585" s="13">
        <f>I585*AO585</f>
        <v>0</v>
      </c>
      <c r="BI585" s="13">
        <f>I585*AP585</f>
        <v>0</v>
      </c>
      <c r="BJ585" s="13">
        <f>I585*J585</f>
        <v>0</v>
      </c>
      <c r="BK585" s="13"/>
      <c r="BL585" s="13"/>
      <c r="BO585" s="13">
        <f>I585*J585</f>
        <v>0</v>
      </c>
    </row>
    <row r="586" spans="1:47" ht="15" customHeight="1">
      <c r="A586" s="30" t="s">
        <v>862</v>
      </c>
      <c r="B586" s="18" t="s">
        <v>1096</v>
      </c>
      <c r="C586" s="18" t="s">
        <v>397</v>
      </c>
      <c r="D586" s="73" t="s">
        <v>1021</v>
      </c>
      <c r="E586" s="73"/>
      <c r="F586" s="73"/>
      <c r="G586" s="73"/>
      <c r="H586" s="15" t="s">
        <v>1148</v>
      </c>
      <c r="I586" s="15" t="s">
        <v>1148</v>
      </c>
      <c r="J586" s="15" t="s">
        <v>1148</v>
      </c>
      <c r="K586" s="56">
        <f>SUM(K587:K587)</f>
        <v>0</v>
      </c>
      <c r="L586" s="56">
        <f>SUM(L587:L587)</f>
        <v>0</v>
      </c>
      <c r="M586" s="56">
        <f>SUM(M587:M587)</f>
        <v>0</v>
      </c>
      <c r="N586" s="21" t="s">
        <v>862</v>
      </c>
      <c r="O586" s="47" t="s">
        <v>862</v>
      </c>
      <c r="AI586" s="21" t="s">
        <v>1096</v>
      </c>
      <c r="AS586" s="56">
        <f>SUM(AJ587:AJ587)</f>
        <v>0</v>
      </c>
      <c r="AT586" s="56">
        <f>SUM(AK587:AK587)</f>
        <v>0</v>
      </c>
      <c r="AU586" s="56">
        <f>SUM(AL587:AL587)</f>
        <v>0</v>
      </c>
    </row>
    <row r="587" spans="1:68" ht="15" customHeight="1">
      <c r="A587" s="11" t="s">
        <v>810</v>
      </c>
      <c r="B587" s="48" t="s">
        <v>1096</v>
      </c>
      <c r="C587" s="48" t="s">
        <v>840</v>
      </c>
      <c r="D587" s="61" t="s">
        <v>532</v>
      </c>
      <c r="E587" s="61"/>
      <c r="F587" s="61"/>
      <c r="G587" s="61"/>
      <c r="H587" s="48" t="s">
        <v>835</v>
      </c>
      <c r="I587" s="13">
        <v>1</v>
      </c>
      <c r="J587" s="13">
        <v>0</v>
      </c>
      <c r="K587" s="13">
        <f>I587*AO587</f>
        <v>0</v>
      </c>
      <c r="L587" s="13">
        <f>I587*AP587</f>
        <v>0</v>
      </c>
      <c r="M587" s="13">
        <f>I587*J587</f>
        <v>0</v>
      </c>
      <c r="N587" s="13">
        <v>0</v>
      </c>
      <c r="O587" s="10" t="s">
        <v>851</v>
      </c>
      <c r="Z587" s="13">
        <f>IF(AQ587="5",BJ587,0)</f>
        <v>0</v>
      </c>
      <c r="AB587" s="13">
        <f>IF(AQ587="1",BH587,0)</f>
        <v>0</v>
      </c>
      <c r="AC587" s="13">
        <f>IF(AQ587="1",BI587,0)</f>
        <v>0</v>
      </c>
      <c r="AD587" s="13">
        <f>IF(AQ587="7",BH587,0)</f>
        <v>0</v>
      </c>
      <c r="AE587" s="13">
        <f>IF(AQ587="7",BI587,0)</f>
        <v>0</v>
      </c>
      <c r="AF587" s="13">
        <f>IF(AQ587="2",BH587,0)</f>
        <v>0</v>
      </c>
      <c r="AG587" s="13">
        <f>IF(AQ587="2",BI587,0)</f>
        <v>0</v>
      </c>
      <c r="AH587" s="13">
        <f>IF(AQ587="0",BJ587,0)</f>
        <v>0</v>
      </c>
      <c r="AI587" s="21" t="s">
        <v>1096</v>
      </c>
      <c r="AJ587" s="13">
        <f>IF(AN587=0,M587,0)</f>
        <v>0</v>
      </c>
      <c r="AK587" s="13">
        <f>IF(AN587=15,M587,0)</f>
        <v>0</v>
      </c>
      <c r="AL587" s="13">
        <f>IF(AN587=21,M587,0)</f>
        <v>0</v>
      </c>
      <c r="AN587" s="13">
        <v>21</v>
      </c>
      <c r="AO587" s="13">
        <f>J587*0</f>
        <v>0</v>
      </c>
      <c r="AP587" s="13">
        <f>J587*(1-0)</f>
        <v>0</v>
      </c>
      <c r="AQ587" s="32" t="s">
        <v>566</v>
      </c>
      <c r="AV587" s="13">
        <f>AW587+AX587</f>
        <v>0</v>
      </c>
      <c r="AW587" s="13">
        <f>I587*AO587</f>
        <v>0</v>
      </c>
      <c r="AX587" s="13">
        <f>I587*AP587</f>
        <v>0</v>
      </c>
      <c r="AY587" s="32" t="s">
        <v>1027</v>
      </c>
      <c r="AZ587" s="32" t="s">
        <v>1194</v>
      </c>
      <c r="BA587" s="21" t="s">
        <v>464</v>
      </c>
      <c r="BC587" s="13">
        <f>AW587+AX587</f>
        <v>0</v>
      </c>
      <c r="BD587" s="13">
        <f>J587/(100-BE587)*100</f>
        <v>0</v>
      </c>
      <c r="BE587" s="13">
        <v>0</v>
      </c>
      <c r="BF587" s="13">
        <f>587</f>
        <v>587</v>
      </c>
      <c r="BH587" s="13">
        <f>I587*AO587</f>
        <v>0</v>
      </c>
      <c r="BI587" s="13">
        <f>I587*AP587</f>
        <v>0</v>
      </c>
      <c r="BJ587" s="13">
        <f>I587*J587</f>
        <v>0</v>
      </c>
      <c r="BK587" s="13"/>
      <c r="BL587" s="13"/>
      <c r="BP587" s="13">
        <f>I587*J587</f>
        <v>0</v>
      </c>
    </row>
    <row r="588" spans="1:47" ht="15" customHeight="1">
      <c r="A588" s="30" t="s">
        <v>862</v>
      </c>
      <c r="B588" s="18" t="s">
        <v>1096</v>
      </c>
      <c r="C588" s="18" t="s">
        <v>914</v>
      </c>
      <c r="D588" s="73" t="s">
        <v>651</v>
      </c>
      <c r="E588" s="73"/>
      <c r="F588" s="73"/>
      <c r="G588" s="73"/>
      <c r="H588" s="15" t="s">
        <v>1148</v>
      </c>
      <c r="I588" s="15" t="s">
        <v>1148</v>
      </c>
      <c r="J588" s="15" t="s">
        <v>1148</v>
      </c>
      <c r="K588" s="56">
        <f>SUM(K589:K589)</f>
        <v>0</v>
      </c>
      <c r="L588" s="56">
        <f>SUM(L589:L589)</f>
        <v>0</v>
      </c>
      <c r="M588" s="56">
        <f>SUM(M589:M589)</f>
        <v>0</v>
      </c>
      <c r="N588" s="21" t="s">
        <v>862</v>
      </c>
      <c r="O588" s="47" t="s">
        <v>862</v>
      </c>
      <c r="AI588" s="21" t="s">
        <v>1096</v>
      </c>
      <c r="AS588" s="56">
        <f>SUM(AJ589:AJ589)</f>
        <v>0</v>
      </c>
      <c r="AT588" s="56">
        <f>SUM(AK589:AK589)</f>
        <v>0</v>
      </c>
      <c r="AU588" s="56">
        <f>SUM(AL589:AL589)</f>
        <v>0</v>
      </c>
    </row>
    <row r="589" spans="1:71" ht="15" customHeight="1">
      <c r="A589" s="11" t="s">
        <v>999</v>
      </c>
      <c r="B589" s="48" t="s">
        <v>1096</v>
      </c>
      <c r="C589" s="48" t="s">
        <v>1184</v>
      </c>
      <c r="D589" s="61" t="s">
        <v>710</v>
      </c>
      <c r="E589" s="61"/>
      <c r="F589" s="61"/>
      <c r="G589" s="61"/>
      <c r="H589" s="48" t="s">
        <v>835</v>
      </c>
      <c r="I589" s="13">
        <v>1</v>
      </c>
      <c r="J589" s="13">
        <v>0</v>
      </c>
      <c r="K589" s="13">
        <f>I589*AO589</f>
        <v>0</v>
      </c>
      <c r="L589" s="13">
        <f>I589*AP589</f>
        <v>0</v>
      </c>
      <c r="M589" s="13">
        <f>I589*J589</f>
        <v>0</v>
      </c>
      <c r="N589" s="13">
        <v>0</v>
      </c>
      <c r="O589" s="10" t="s">
        <v>851</v>
      </c>
      <c r="Z589" s="13">
        <f>IF(AQ589="5",BJ589,0)</f>
        <v>0</v>
      </c>
      <c r="AB589" s="13">
        <f>IF(AQ589="1",BH589,0)</f>
        <v>0</v>
      </c>
      <c r="AC589" s="13">
        <f>IF(AQ589="1",BI589,0)</f>
        <v>0</v>
      </c>
      <c r="AD589" s="13">
        <f>IF(AQ589="7",BH589,0)</f>
        <v>0</v>
      </c>
      <c r="AE589" s="13">
        <f>IF(AQ589="7",BI589,0)</f>
        <v>0</v>
      </c>
      <c r="AF589" s="13">
        <f>IF(AQ589="2",BH589,0)</f>
        <v>0</v>
      </c>
      <c r="AG589" s="13">
        <f>IF(AQ589="2",BI589,0)</f>
        <v>0</v>
      </c>
      <c r="AH589" s="13">
        <f>IF(AQ589="0",BJ589,0)</f>
        <v>0</v>
      </c>
      <c r="AI589" s="21" t="s">
        <v>1096</v>
      </c>
      <c r="AJ589" s="13">
        <f>IF(AN589=0,M589,0)</f>
        <v>0</v>
      </c>
      <c r="AK589" s="13">
        <f>IF(AN589=15,M589,0)</f>
        <v>0</v>
      </c>
      <c r="AL589" s="13">
        <f>IF(AN589=21,M589,0)</f>
        <v>0</v>
      </c>
      <c r="AN589" s="13">
        <v>21</v>
      </c>
      <c r="AO589" s="13">
        <f>J589*0</f>
        <v>0</v>
      </c>
      <c r="AP589" s="13">
        <f>J589*(1-0)</f>
        <v>0</v>
      </c>
      <c r="AQ589" s="32" t="s">
        <v>566</v>
      </c>
      <c r="AV589" s="13">
        <f>AW589+AX589</f>
        <v>0</v>
      </c>
      <c r="AW589" s="13">
        <f>I589*AO589</f>
        <v>0</v>
      </c>
      <c r="AX589" s="13">
        <f>I589*AP589</f>
        <v>0</v>
      </c>
      <c r="AY589" s="32" t="s">
        <v>1207</v>
      </c>
      <c r="AZ589" s="32" t="s">
        <v>1194</v>
      </c>
      <c r="BA589" s="21" t="s">
        <v>464</v>
      </c>
      <c r="BC589" s="13">
        <f>AW589+AX589</f>
        <v>0</v>
      </c>
      <c r="BD589" s="13">
        <f>J589/(100-BE589)*100</f>
        <v>0</v>
      </c>
      <c r="BE589" s="13">
        <v>0</v>
      </c>
      <c r="BF589" s="13">
        <f>589</f>
        <v>589</v>
      </c>
      <c r="BH589" s="13">
        <f>I589*AO589</f>
        <v>0</v>
      </c>
      <c r="BI589" s="13">
        <f>I589*AP589</f>
        <v>0</v>
      </c>
      <c r="BJ589" s="13">
        <f>I589*J589</f>
        <v>0</v>
      </c>
      <c r="BK589" s="13"/>
      <c r="BL589" s="13"/>
      <c r="BS589" s="13">
        <f>I589*J589</f>
        <v>0</v>
      </c>
    </row>
    <row r="590" spans="1:15" ht="13.5" customHeight="1">
      <c r="A590" s="39"/>
      <c r="C590" s="7" t="s">
        <v>106</v>
      </c>
      <c r="D590" s="74" t="s">
        <v>52</v>
      </c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6"/>
    </row>
    <row r="591" spans="1:15" ht="15" customHeight="1">
      <c r="A591" s="30" t="s">
        <v>862</v>
      </c>
      <c r="B591" s="18" t="s">
        <v>669</v>
      </c>
      <c r="C591" s="18" t="s">
        <v>862</v>
      </c>
      <c r="D591" s="73" t="s">
        <v>848</v>
      </c>
      <c r="E591" s="73"/>
      <c r="F591" s="73"/>
      <c r="G591" s="73"/>
      <c r="H591" s="15" t="s">
        <v>1148</v>
      </c>
      <c r="I591" s="15" t="s">
        <v>1148</v>
      </c>
      <c r="J591" s="15" t="s">
        <v>1148</v>
      </c>
      <c r="K591" s="56">
        <f>K592+K596+K598+K601+K604</f>
        <v>0</v>
      </c>
      <c r="L591" s="56">
        <f>L592+L596+L598+L601+L604</f>
        <v>0</v>
      </c>
      <c r="M591" s="56">
        <f>M592+M596+M598+M601+M604</f>
        <v>0</v>
      </c>
      <c r="N591" s="21" t="s">
        <v>862</v>
      </c>
      <c r="O591" s="47" t="s">
        <v>862</v>
      </c>
    </row>
    <row r="592" spans="1:47" ht="15" customHeight="1">
      <c r="A592" s="30" t="s">
        <v>862</v>
      </c>
      <c r="B592" s="18" t="s">
        <v>669</v>
      </c>
      <c r="C592" s="18" t="s">
        <v>113</v>
      </c>
      <c r="D592" s="73" t="s">
        <v>1028</v>
      </c>
      <c r="E592" s="73"/>
      <c r="F592" s="73"/>
      <c r="G592" s="73"/>
      <c r="H592" s="15" t="s">
        <v>1148</v>
      </c>
      <c r="I592" s="15" t="s">
        <v>1148</v>
      </c>
      <c r="J592" s="15" t="s">
        <v>1148</v>
      </c>
      <c r="K592" s="56">
        <f>SUM(K593:K595)</f>
        <v>0</v>
      </c>
      <c r="L592" s="56">
        <f>SUM(L593:L595)</f>
        <v>0</v>
      </c>
      <c r="M592" s="56">
        <f>SUM(M593:M595)</f>
        <v>0</v>
      </c>
      <c r="N592" s="21" t="s">
        <v>862</v>
      </c>
      <c r="O592" s="47" t="s">
        <v>862</v>
      </c>
      <c r="AI592" s="21" t="s">
        <v>669</v>
      </c>
      <c r="AS592" s="56">
        <f>SUM(AJ593:AJ595)</f>
        <v>0</v>
      </c>
      <c r="AT592" s="56">
        <f>SUM(AK593:AK595)</f>
        <v>0</v>
      </c>
      <c r="AU592" s="56">
        <f>SUM(AL593:AL595)</f>
        <v>0</v>
      </c>
    </row>
    <row r="593" spans="1:64" ht="15" customHeight="1">
      <c r="A593" s="11" t="s">
        <v>415</v>
      </c>
      <c r="B593" s="48" t="s">
        <v>669</v>
      </c>
      <c r="C593" s="48" t="s">
        <v>628</v>
      </c>
      <c r="D593" s="61" t="s">
        <v>161</v>
      </c>
      <c r="E593" s="61"/>
      <c r="F593" s="61"/>
      <c r="G593" s="61"/>
      <c r="H593" s="48" t="s">
        <v>1195</v>
      </c>
      <c r="I593" s="13">
        <v>455</v>
      </c>
      <c r="J593" s="13">
        <v>0</v>
      </c>
      <c r="K593" s="13">
        <f>I593*AO593</f>
        <v>0</v>
      </c>
      <c r="L593" s="13">
        <f>I593*AP593</f>
        <v>0</v>
      </c>
      <c r="M593" s="13">
        <f>I593*J593</f>
        <v>0</v>
      </c>
      <c r="N593" s="13">
        <v>0</v>
      </c>
      <c r="O593" s="10" t="s">
        <v>851</v>
      </c>
      <c r="Z593" s="13">
        <f>IF(AQ593="5",BJ593,0)</f>
        <v>0</v>
      </c>
      <c r="AB593" s="13">
        <f>IF(AQ593="1",BH593,0)</f>
        <v>0</v>
      </c>
      <c r="AC593" s="13">
        <f>IF(AQ593="1",BI593,0)</f>
        <v>0</v>
      </c>
      <c r="AD593" s="13">
        <f>IF(AQ593="7",BH593,0)</f>
        <v>0</v>
      </c>
      <c r="AE593" s="13">
        <f>IF(AQ593="7",BI593,0)</f>
        <v>0</v>
      </c>
      <c r="AF593" s="13">
        <f>IF(AQ593="2",BH593,0)</f>
        <v>0</v>
      </c>
      <c r="AG593" s="13">
        <f>IF(AQ593="2",BI593,0)</f>
        <v>0</v>
      </c>
      <c r="AH593" s="13">
        <f>IF(AQ593="0",BJ593,0)</f>
        <v>0</v>
      </c>
      <c r="AI593" s="21" t="s">
        <v>669</v>
      </c>
      <c r="AJ593" s="13">
        <f>IF(AN593=0,M593,0)</f>
        <v>0</v>
      </c>
      <c r="AK593" s="13">
        <f>IF(AN593=15,M593,0)</f>
        <v>0</v>
      </c>
      <c r="AL593" s="13">
        <f>IF(AN593=21,M593,0)</f>
        <v>0</v>
      </c>
      <c r="AN593" s="13">
        <v>21</v>
      </c>
      <c r="AO593" s="13">
        <f>J593*0</f>
        <v>0</v>
      </c>
      <c r="AP593" s="13">
        <f>J593*(1-0)</f>
        <v>0</v>
      </c>
      <c r="AQ593" s="32" t="s">
        <v>1231</v>
      </c>
      <c r="AV593" s="13">
        <f>AW593+AX593</f>
        <v>0</v>
      </c>
      <c r="AW593" s="13">
        <f>I593*AO593</f>
        <v>0</v>
      </c>
      <c r="AX593" s="13">
        <f>I593*AP593</f>
        <v>0</v>
      </c>
      <c r="AY593" s="32" t="s">
        <v>1151</v>
      </c>
      <c r="AZ593" s="32" t="s">
        <v>646</v>
      </c>
      <c r="BA593" s="21" t="s">
        <v>1332</v>
      </c>
      <c r="BC593" s="13">
        <f>AW593+AX593</f>
        <v>0</v>
      </c>
      <c r="BD593" s="13">
        <f>J593/(100-BE593)*100</f>
        <v>0</v>
      </c>
      <c r="BE593" s="13">
        <v>0</v>
      </c>
      <c r="BF593" s="13">
        <f>593</f>
        <v>593</v>
      </c>
      <c r="BH593" s="13">
        <f>I593*AO593</f>
        <v>0</v>
      </c>
      <c r="BI593" s="13">
        <f>I593*AP593</f>
        <v>0</v>
      </c>
      <c r="BJ593" s="13">
        <f>I593*J593</f>
        <v>0</v>
      </c>
      <c r="BK593" s="13"/>
      <c r="BL593" s="13">
        <v>16</v>
      </c>
    </row>
    <row r="594" spans="1:64" ht="15" customHeight="1">
      <c r="A594" s="11" t="s">
        <v>411</v>
      </c>
      <c r="B594" s="48" t="s">
        <v>669</v>
      </c>
      <c r="C594" s="48" t="s">
        <v>1113</v>
      </c>
      <c r="D594" s="61" t="s">
        <v>151</v>
      </c>
      <c r="E594" s="61"/>
      <c r="F594" s="61"/>
      <c r="G594" s="61"/>
      <c r="H594" s="48" t="s">
        <v>1195</v>
      </c>
      <c r="I594" s="13">
        <v>455</v>
      </c>
      <c r="J594" s="13">
        <v>0</v>
      </c>
      <c r="K594" s="13">
        <f>I594*AO594</f>
        <v>0</v>
      </c>
      <c r="L594" s="13">
        <f>I594*AP594</f>
        <v>0</v>
      </c>
      <c r="M594" s="13">
        <f>I594*J594</f>
        <v>0</v>
      </c>
      <c r="N594" s="13">
        <v>0</v>
      </c>
      <c r="O594" s="10" t="s">
        <v>851</v>
      </c>
      <c r="Z594" s="13">
        <f>IF(AQ594="5",BJ594,0)</f>
        <v>0</v>
      </c>
      <c r="AB594" s="13">
        <f>IF(AQ594="1",BH594,0)</f>
        <v>0</v>
      </c>
      <c r="AC594" s="13">
        <f>IF(AQ594="1",BI594,0)</f>
        <v>0</v>
      </c>
      <c r="AD594" s="13">
        <f>IF(AQ594="7",BH594,0)</f>
        <v>0</v>
      </c>
      <c r="AE594" s="13">
        <f>IF(AQ594="7",BI594,0)</f>
        <v>0</v>
      </c>
      <c r="AF594" s="13">
        <f>IF(AQ594="2",BH594,0)</f>
        <v>0</v>
      </c>
      <c r="AG594" s="13">
        <f>IF(AQ594="2",BI594,0)</f>
        <v>0</v>
      </c>
      <c r="AH594" s="13">
        <f>IF(AQ594="0",BJ594,0)</f>
        <v>0</v>
      </c>
      <c r="AI594" s="21" t="s">
        <v>669</v>
      </c>
      <c r="AJ594" s="13">
        <f>IF(AN594=0,M594,0)</f>
        <v>0</v>
      </c>
      <c r="AK594" s="13">
        <f>IF(AN594=15,M594,0)</f>
        <v>0</v>
      </c>
      <c r="AL594" s="13">
        <f>IF(AN594=21,M594,0)</f>
        <v>0</v>
      </c>
      <c r="AN594" s="13">
        <v>21</v>
      </c>
      <c r="AO594" s="13">
        <f>J594*0</f>
        <v>0</v>
      </c>
      <c r="AP594" s="13">
        <f>J594*(1-0)</f>
        <v>0</v>
      </c>
      <c r="AQ594" s="32" t="s">
        <v>1231</v>
      </c>
      <c r="AV594" s="13">
        <f>AW594+AX594</f>
        <v>0</v>
      </c>
      <c r="AW594" s="13">
        <f>I594*AO594</f>
        <v>0</v>
      </c>
      <c r="AX594" s="13">
        <f>I594*AP594</f>
        <v>0</v>
      </c>
      <c r="AY594" s="32" t="s">
        <v>1151</v>
      </c>
      <c r="AZ594" s="32" t="s">
        <v>646</v>
      </c>
      <c r="BA594" s="21" t="s">
        <v>1332</v>
      </c>
      <c r="BC594" s="13">
        <f>AW594+AX594</f>
        <v>0</v>
      </c>
      <c r="BD594" s="13">
        <f>J594/(100-BE594)*100</f>
        <v>0</v>
      </c>
      <c r="BE594" s="13">
        <v>0</v>
      </c>
      <c r="BF594" s="13">
        <f>594</f>
        <v>594</v>
      </c>
      <c r="BH594" s="13">
        <f>I594*AO594</f>
        <v>0</v>
      </c>
      <c r="BI594" s="13">
        <f>I594*AP594</f>
        <v>0</v>
      </c>
      <c r="BJ594" s="13">
        <f>I594*J594</f>
        <v>0</v>
      </c>
      <c r="BK594" s="13"/>
      <c r="BL594" s="13">
        <v>16</v>
      </c>
    </row>
    <row r="595" spans="1:64" ht="15" customHeight="1">
      <c r="A595" s="11" t="s">
        <v>128</v>
      </c>
      <c r="B595" s="48" t="s">
        <v>669</v>
      </c>
      <c r="C595" s="48" t="s">
        <v>1014</v>
      </c>
      <c r="D595" s="61" t="s">
        <v>300</v>
      </c>
      <c r="E595" s="61"/>
      <c r="F595" s="61"/>
      <c r="G595" s="61"/>
      <c r="H595" s="48" t="s">
        <v>1195</v>
      </c>
      <c r="I595" s="13">
        <v>455</v>
      </c>
      <c r="J595" s="13">
        <v>0</v>
      </c>
      <c r="K595" s="13">
        <f>I595*AO595</f>
        <v>0</v>
      </c>
      <c r="L595" s="13">
        <f>I595*AP595</f>
        <v>0</v>
      </c>
      <c r="M595" s="13">
        <f>I595*J595</f>
        <v>0</v>
      </c>
      <c r="N595" s="13">
        <v>0</v>
      </c>
      <c r="O595" s="10" t="s">
        <v>851</v>
      </c>
      <c r="Z595" s="13">
        <f>IF(AQ595="5",BJ595,0)</f>
        <v>0</v>
      </c>
      <c r="AB595" s="13">
        <f>IF(AQ595="1",BH595,0)</f>
        <v>0</v>
      </c>
      <c r="AC595" s="13">
        <f>IF(AQ595="1",BI595,0)</f>
        <v>0</v>
      </c>
      <c r="AD595" s="13">
        <f>IF(AQ595="7",BH595,0)</f>
        <v>0</v>
      </c>
      <c r="AE595" s="13">
        <f>IF(AQ595="7",BI595,0)</f>
        <v>0</v>
      </c>
      <c r="AF595" s="13">
        <f>IF(AQ595="2",BH595,0)</f>
        <v>0</v>
      </c>
      <c r="AG595" s="13">
        <f>IF(AQ595="2",BI595,0)</f>
        <v>0</v>
      </c>
      <c r="AH595" s="13">
        <f>IF(AQ595="0",BJ595,0)</f>
        <v>0</v>
      </c>
      <c r="AI595" s="21" t="s">
        <v>669</v>
      </c>
      <c r="AJ595" s="13">
        <f>IF(AN595=0,M595,0)</f>
        <v>0</v>
      </c>
      <c r="AK595" s="13">
        <f>IF(AN595=15,M595,0)</f>
        <v>0</v>
      </c>
      <c r="AL595" s="13">
        <f>IF(AN595=21,M595,0)</f>
        <v>0</v>
      </c>
      <c r="AN595" s="13">
        <v>21</v>
      </c>
      <c r="AO595" s="13">
        <f>J595*0</f>
        <v>0</v>
      </c>
      <c r="AP595" s="13">
        <f>J595*(1-0)</f>
        <v>0</v>
      </c>
      <c r="AQ595" s="32" t="s">
        <v>1231</v>
      </c>
      <c r="AV595" s="13">
        <f>AW595+AX595</f>
        <v>0</v>
      </c>
      <c r="AW595" s="13">
        <f>I595*AO595</f>
        <v>0</v>
      </c>
      <c r="AX595" s="13">
        <f>I595*AP595</f>
        <v>0</v>
      </c>
      <c r="AY595" s="32" t="s">
        <v>1151</v>
      </c>
      <c r="AZ595" s="32" t="s">
        <v>646</v>
      </c>
      <c r="BA595" s="21" t="s">
        <v>1332</v>
      </c>
      <c r="BC595" s="13">
        <f>AW595+AX595</f>
        <v>0</v>
      </c>
      <c r="BD595" s="13">
        <f>J595/(100-BE595)*100</f>
        <v>0</v>
      </c>
      <c r="BE595" s="13">
        <v>0</v>
      </c>
      <c r="BF595" s="13">
        <f>595</f>
        <v>595</v>
      </c>
      <c r="BH595" s="13">
        <f>I595*AO595</f>
        <v>0</v>
      </c>
      <c r="BI595" s="13">
        <f>I595*AP595</f>
        <v>0</v>
      </c>
      <c r="BJ595" s="13">
        <f>I595*J595</f>
        <v>0</v>
      </c>
      <c r="BK595" s="13"/>
      <c r="BL595" s="13">
        <v>16</v>
      </c>
    </row>
    <row r="596" spans="1:47" ht="15" customHeight="1">
      <c r="A596" s="30" t="s">
        <v>862</v>
      </c>
      <c r="B596" s="18" t="s">
        <v>669</v>
      </c>
      <c r="C596" s="18" t="s">
        <v>868</v>
      </c>
      <c r="D596" s="73" t="s">
        <v>167</v>
      </c>
      <c r="E596" s="73"/>
      <c r="F596" s="73"/>
      <c r="G596" s="73"/>
      <c r="H596" s="15" t="s">
        <v>1148</v>
      </c>
      <c r="I596" s="15" t="s">
        <v>1148</v>
      </c>
      <c r="J596" s="15" t="s">
        <v>1148</v>
      </c>
      <c r="K596" s="56">
        <f>SUM(K597:K597)</f>
        <v>0</v>
      </c>
      <c r="L596" s="56">
        <f>SUM(L597:L597)</f>
        <v>0</v>
      </c>
      <c r="M596" s="56">
        <f>SUM(M597:M597)</f>
        <v>0</v>
      </c>
      <c r="N596" s="21" t="s">
        <v>862</v>
      </c>
      <c r="O596" s="47" t="s">
        <v>862</v>
      </c>
      <c r="AI596" s="21" t="s">
        <v>669</v>
      </c>
      <c r="AS596" s="56">
        <f>SUM(AJ597:AJ597)</f>
        <v>0</v>
      </c>
      <c r="AT596" s="56">
        <f>SUM(AK597:AK597)</f>
        <v>0</v>
      </c>
      <c r="AU596" s="56">
        <f>SUM(AL597:AL597)</f>
        <v>0</v>
      </c>
    </row>
    <row r="597" spans="1:64" ht="15" customHeight="1">
      <c r="A597" s="11" t="s">
        <v>193</v>
      </c>
      <c r="B597" s="48" t="s">
        <v>669</v>
      </c>
      <c r="C597" s="48" t="s">
        <v>400</v>
      </c>
      <c r="D597" s="61" t="s">
        <v>1117</v>
      </c>
      <c r="E597" s="61"/>
      <c r="F597" s="61"/>
      <c r="G597" s="61"/>
      <c r="H597" s="48" t="s">
        <v>1195</v>
      </c>
      <c r="I597" s="13">
        <v>227.5</v>
      </c>
      <c r="J597" s="13">
        <v>0</v>
      </c>
      <c r="K597" s="13">
        <f>I597*AO597</f>
        <v>0</v>
      </c>
      <c r="L597" s="13">
        <f>I597*AP597</f>
        <v>0</v>
      </c>
      <c r="M597" s="13">
        <f>I597*J597</f>
        <v>0</v>
      </c>
      <c r="N597" s="13">
        <v>0</v>
      </c>
      <c r="O597" s="10" t="s">
        <v>851</v>
      </c>
      <c r="Z597" s="13">
        <f>IF(AQ597="5",BJ597,0)</f>
        <v>0</v>
      </c>
      <c r="AB597" s="13">
        <f>IF(AQ597="1",BH597,0)</f>
        <v>0</v>
      </c>
      <c r="AC597" s="13">
        <f>IF(AQ597="1",BI597,0)</f>
        <v>0</v>
      </c>
      <c r="AD597" s="13">
        <f>IF(AQ597="7",BH597,0)</f>
        <v>0</v>
      </c>
      <c r="AE597" s="13">
        <f>IF(AQ597="7",BI597,0)</f>
        <v>0</v>
      </c>
      <c r="AF597" s="13">
        <f>IF(AQ597="2",BH597,0)</f>
        <v>0</v>
      </c>
      <c r="AG597" s="13">
        <f>IF(AQ597="2",BI597,0)</f>
        <v>0</v>
      </c>
      <c r="AH597" s="13">
        <f>IF(AQ597="0",BJ597,0)</f>
        <v>0</v>
      </c>
      <c r="AI597" s="21" t="s">
        <v>669</v>
      </c>
      <c r="AJ597" s="13">
        <f>IF(AN597=0,M597,0)</f>
        <v>0</v>
      </c>
      <c r="AK597" s="13">
        <f>IF(AN597=15,M597,0)</f>
        <v>0</v>
      </c>
      <c r="AL597" s="13">
        <f>IF(AN597=21,M597,0)</f>
        <v>0</v>
      </c>
      <c r="AN597" s="13">
        <v>21</v>
      </c>
      <c r="AO597" s="13">
        <f>J597*0</f>
        <v>0</v>
      </c>
      <c r="AP597" s="13">
        <f>J597*(1-0)</f>
        <v>0</v>
      </c>
      <c r="AQ597" s="32" t="s">
        <v>1231</v>
      </c>
      <c r="AV597" s="13">
        <f>AW597+AX597</f>
        <v>0</v>
      </c>
      <c r="AW597" s="13">
        <f>I597*AO597</f>
        <v>0</v>
      </c>
      <c r="AX597" s="13">
        <f>I597*AP597</f>
        <v>0</v>
      </c>
      <c r="AY597" s="32" t="s">
        <v>238</v>
      </c>
      <c r="AZ597" s="32" t="s">
        <v>646</v>
      </c>
      <c r="BA597" s="21" t="s">
        <v>1332</v>
      </c>
      <c r="BC597" s="13">
        <f>AW597+AX597</f>
        <v>0</v>
      </c>
      <c r="BD597" s="13">
        <f>J597/(100-BE597)*100</f>
        <v>0</v>
      </c>
      <c r="BE597" s="13">
        <v>0</v>
      </c>
      <c r="BF597" s="13">
        <f>597</f>
        <v>597</v>
      </c>
      <c r="BH597" s="13">
        <f>I597*AO597</f>
        <v>0</v>
      </c>
      <c r="BI597" s="13">
        <f>I597*AP597</f>
        <v>0</v>
      </c>
      <c r="BJ597" s="13">
        <f>I597*J597</f>
        <v>0</v>
      </c>
      <c r="BK597" s="13"/>
      <c r="BL597" s="13">
        <v>17</v>
      </c>
    </row>
    <row r="598" spans="1:47" ht="15" customHeight="1">
      <c r="A598" s="30" t="s">
        <v>862</v>
      </c>
      <c r="B598" s="18" t="s">
        <v>669</v>
      </c>
      <c r="C598" s="18" t="s">
        <v>57</v>
      </c>
      <c r="D598" s="73" t="s">
        <v>93</v>
      </c>
      <c r="E598" s="73"/>
      <c r="F598" s="73"/>
      <c r="G598" s="73"/>
      <c r="H598" s="15" t="s">
        <v>1148</v>
      </c>
      <c r="I598" s="15" t="s">
        <v>1148</v>
      </c>
      <c r="J598" s="15" t="s">
        <v>1148</v>
      </c>
      <c r="K598" s="56">
        <f>SUM(K599:K600)</f>
        <v>0</v>
      </c>
      <c r="L598" s="56">
        <f>SUM(L599:L600)</f>
        <v>0</v>
      </c>
      <c r="M598" s="56">
        <f>SUM(M599:M600)</f>
        <v>0</v>
      </c>
      <c r="N598" s="21" t="s">
        <v>862</v>
      </c>
      <c r="O598" s="47" t="s">
        <v>862</v>
      </c>
      <c r="AI598" s="21" t="s">
        <v>669</v>
      </c>
      <c r="AS598" s="56">
        <f>SUM(AJ599:AJ600)</f>
        <v>0</v>
      </c>
      <c r="AT598" s="56">
        <f>SUM(AK599:AK600)</f>
        <v>0</v>
      </c>
      <c r="AU598" s="56">
        <f>SUM(AL599:AL600)</f>
        <v>0</v>
      </c>
    </row>
    <row r="599" spans="1:64" ht="15" customHeight="1">
      <c r="A599" s="11" t="s">
        <v>7</v>
      </c>
      <c r="B599" s="48" t="s">
        <v>669</v>
      </c>
      <c r="C599" s="48" t="s">
        <v>339</v>
      </c>
      <c r="D599" s="61" t="s">
        <v>177</v>
      </c>
      <c r="E599" s="61"/>
      <c r="F599" s="61"/>
      <c r="G599" s="61"/>
      <c r="H599" s="48" t="s">
        <v>299</v>
      </c>
      <c r="I599" s="13">
        <v>8</v>
      </c>
      <c r="J599" s="13">
        <v>0</v>
      </c>
      <c r="K599" s="13">
        <f>I599*AO599</f>
        <v>0</v>
      </c>
      <c r="L599" s="13">
        <f>I599*AP599</f>
        <v>0</v>
      </c>
      <c r="M599" s="13">
        <f>I599*J599</f>
        <v>0</v>
      </c>
      <c r="N599" s="13">
        <v>0</v>
      </c>
      <c r="O599" s="10" t="s">
        <v>851</v>
      </c>
      <c r="Z599" s="13">
        <f>IF(AQ599="5",BJ599,0)</f>
        <v>0</v>
      </c>
      <c r="AB599" s="13">
        <f>IF(AQ599="1",BH599,0)</f>
        <v>0</v>
      </c>
      <c r="AC599" s="13">
        <f>IF(AQ599="1",BI599,0)</f>
        <v>0</v>
      </c>
      <c r="AD599" s="13">
        <f>IF(AQ599="7",BH599,0)</f>
        <v>0</v>
      </c>
      <c r="AE599" s="13">
        <f>IF(AQ599="7",BI599,0)</f>
        <v>0</v>
      </c>
      <c r="AF599" s="13">
        <f>IF(AQ599="2",BH599,0)</f>
        <v>0</v>
      </c>
      <c r="AG599" s="13">
        <f>IF(AQ599="2",BI599,0)</f>
        <v>0</v>
      </c>
      <c r="AH599" s="13">
        <f>IF(AQ599="0",BJ599,0)</f>
        <v>0</v>
      </c>
      <c r="AI599" s="21" t="s">
        <v>669</v>
      </c>
      <c r="AJ599" s="13">
        <f>IF(AN599=0,M599,0)</f>
        <v>0</v>
      </c>
      <c r="AK599" s="13">
        <f>IF(AN599=15,M599,0)</f>
        <v>0</v>
      </c>
      <c r="AL599" s="13">
        <f>IF(AN599=21,M599,0)</f>
        <v>0</v>
      </c>
      <c r="AN599" s="13">
        <v>21</v>
      </c>
      <c r="AO599" s="13">
        <f>J599*0</f>
        <v>0</v>
      </c>
      <c r="AP599" s="13">
        <f>J599*(1-0)</f>
        <v>0</v>
      </c>
      <c r="AQ599" s="32" t="s">
        <v>1231</v>
      </c>
      <c r="AV599" s="13">
        <f>AW599+AX599</f>
        <v>0</v>
      </c>
      <c r="AW599" s="13">
        <f>I599*AO599</f>
        <v>0</v>
      </c>
      <c r="AX599" s="13">
        <f>I599*AP599</f>
        <v>0</v>
      </c>
      <c r="AY599" s="32" t="s">
        <v>81</v>
      </c>
      <c r="AZ599" s="32" t="s">
        <v>1173</v>
      </c>
      <c r="BA599" s="21" t="s">
        <v>1332</v>
      </c>
      <c r="BC599" s="13">
        <f>AW599+AX599</f>
        <v>0</v>
      </c>
      <c r="BD599" s="13">
        <f>J599/(100-BE599)*100</f>
        <v>0</v>
      </c>
      <c r="BE599" s="13">
        <v>0</v>
      </c>
      <c r="BF599" s="13">
        <f>599</f>
        <v>599</v>
      </c>
      <c r="BH599" s="13">
        <f>I599*AO599</f>
        <v>0</v>
      </c>
      <c r="BI599" s="13">
        <f>I599*AP599</f>
        <v>0</v>
      </c>
      <c r="BJ599" s="13">
        <f>I599*J599</f>
        <v>0</v>
      </c>
      <c r="BK599" s="13"/>
      <c r="BL599" s="13">
        <v>87</v>
      </c>
    </row>
    <row r="600" spans="1:64" ht="15" customHeight="1">
      <c r="A600" s="11" t="s">
        <v>253</v>
      </c>
      <c r="B600" s="48" t="s">
        <v>669</v>
      </c>
      <c r="C600" s="48" t="s">
        <v>514</v>
      </c>
      <c r="D600" s="61" t="s">
        <v>35</v>
      </c>
      <c r="E600" s="61"/>
      <c r="F600" s="61"/>
      <c r="G600" s="61"/>
      <c r="H600" s="48" t="s">
        <v>299</v>
      </c>
      <c r="I600" s="13">
        <v>4</v>
      </c>
      <c r="J600" s="13">
        <v>0</v>
      </c>
      <c r="K600" s="13">
        <f>I600*AO600</f>
        <v>0</v>
      </c>
      <c r="L600" s="13">
        <f>I600*AP600</f>
        <v>0</v>
      </c>
      <c r="M600" s="13">
        <f>I600*J600</f>
        <v>0</v>
      </c>
      <c r="N600" s="13">
        <v>0.00073</v>
      </c>
      <c r="O600" s="10" t="s">
        <v>851</v>
      </c>
      <c r="Z600" s="13">
        <f>IF(AQ600="5",BJ600,0)</f>
        <v>0</v>
      </c>
      <c r="AB600" s="13">
        <f>IF(AQ600="1",BH600,0)</f>
        <v>0</v>
      </c>
      <c r="AC600" s="13">
        <f>IF(AQ600="1",BI600,0)</f>
        <v>0</v>
      </c>
      <c r="AD600" s="13">
        <f>IF(AQ600="7",BH600,0)</f>
        <v>0</v>
      </c>
      <c r="AE600" s="13">
        <f>IF(AQ600="7",BI600,0)</f>
        <v>0</v>
      </c>
      <c r="AF600" s="13">
        <f>IF(AQ600="2",BH600,0)</f>
        <v>0</v>
      </c>
      <c r="AG600" s="13">
        <f>IF(AQ600="2",BI600,0)</f>
        <v>0</v>
      </c>
      <c r="AH600" s="13">
        <f>IF(AQ600="0",BJ600,0)</f>
        <v>0</v>
      </c>
      <c r="AI600" s="21" t="s">
        <v>669</v>
      </c>
      <c r="AJ600" s="13">
        <f>IF(AN600=0,M600,0)</f>
        <v>0</v>
      </c>
      <c r="AK600" s="13">
        <f>IF(AN600=15,M600,0)</f>
        <v>0</v>
      </c>
      <c r="AL600" s="13">
        <f>IF(AN600=21,M600,0)</f>
        <v>0</v>
      </c>
      <c r="AN600" s="13">
        <v>21</v>
      </c>
      <c r="AO600" s="13">
        <f>J600*1</f>
        <v>0</v>
      </c>
      <c r="AP600" s="13">
        <f>J600*(1-1)</f>
        <v>0</v>
      </c>
      <c r="AQ600" s="32" t="s">
        <v>1231</v>
      </c>
      <c r="AV600" s="13">
        <f>AW600+AX600</f>
        <v>0</v>
      </c>
      <c r="AW600" s="13">
        <f>I600*AO600</f>
        <v>0</v>
      </c>
      <c r="AX600" s="13">
        <f>I600*AP600</f>
        <v>0</v>
      </c>
      <c r="AY600" s="32" t="s">
        <v>81</v>
      </c>
      <c r="AZ600" s="32" t="s">
        <v>1173</v>
      </c>
      <c r="BA600" s="21" t="s">
        <v>1332</v>
      </c>
      <c r="BC600" s="13">
        <f>AW600+AX600</f>
        <v>0</v>
      </c>
      <c r="BD600" s="13">
        <f>J600/(100-BE600)*100</f>
        <v>0</v>
      </c>
      <c r="BE600" s="13">
        <v>0</v>
      </c>
      <c r="BF600" s="13">
        <f>600</f>
        <v>600</v>
      </c>
      <c r="BH600" s="13">
        <f>I600*AO600</f>
        <v>0</v>
      </c>
      <c r="BI600" s="13">
        <f>I600*AP600</f>
        <v>0</v>
      </c>
      <c r="BJ600" s="13">
        <f>I600*J600</f>
        <v>0</v>
      </c>
      <c r="BK600" s="13"/>
      <c r="BL600" s="13">
        <v>87</v>
      </c>
    </row>
    <row r="601" spans="1:47" ht="15" customHeight="1">
      <c r="A601" s="30" t="s">
        <v>862</v>
      </c>
      <c r="B601" s="18" t="s">
        <v>669</v>
      </c>
      <c r="C601" s="18" t="s">
        <v>1308</v>
      </c>
      <c r="D601" s="73" t="s">
        <v>805</v>
      </c>
      <c r="E601" s="73"/>
      <c r="F601" s="73"/>
      <c r="G601" s="73"/>
      <c r="H601" s="15" t="s">
        <v>1148</v>
      </c>
      <c r="I601" s="15" t="s">
        <v>1148</v>
      </c>
      <c r="J601" s="15" t="s">
        <v>1148</v>
      </c>
      <c r="K601" s="56">
        <f>SUM(K602:K603)</f>
        <v>0</v>
      </c>
      <c r="L601" s="56">
        <f>SUM(L602:L603)</f>
        <v>0</v>
      </c>
      <c r="M601" s="56">
        <f>SUM(M602:M603)</f>
        <v>0</v>
      </c>
      <c r="N601" s="21" t="s">
        <v>862</v>
      </c>
      <c r="O601" s="47" t="s">
        <v>862</v>
      </c>
      <c r="AI601" s="21" t="s">
        <v>669</v>
      </c>
      <c r="AS601" s="56">
        <f>SUM(AJ602:AJ603)</f>
        <v>0</v>
      </c>
      <c r="AT601" s="56">
        <f>SUM(AK602:AK603)</f>
        <v>0</v>
      </c>
      <c r="AU601" s="56">
        <f>SUM(AL602:AL603)</f>
        <v>0</v>
      </c>
    </row>
    <row r="602" spans="1:64" ht="15" customHeight="1">
      <c r="A602" s="11" t="s">
        <v>1156</v>
      </c>
      <c r="B602" s="48" t="s">
        <v>669</v>
      </c>
      <c r="C602" s="48" t="s">
        <v>887</v>
      </c>
      <c r="D602" s="61" t="s">
        <v>589</v>
      </c>
      <c r="E602" s="61"/>
      <c r="F602" s="61"/>
      <c r="G602" s="61"/>
      <c r="H602" s="48" t="s">
        <v>1018</v>
      </c>
      <c r="I602" s="13">
        <v>695</v>
      </c>
      <c r="J602" s="13">
        <v>0</v>
      </c>
      <c r="K602" s="13">
        <f>I602*AO602</f>
        <v>0</v>
      </c>
      <c r="L602" s="13">
        <f>I602*AP602</f>
        <v>0</v>
      </c>
      <c r="M602" s="13">
        <f>I602*J602</f>
        <v>0</v>
      </c>
      <c r="N602" s="13">
        <v>0</v>
      </c>
      <c r="O602" s="10" t="s">
        <v>851</v>
      </c>
      <c r="Z602" s="13">
        <f>IF(AQ602="5",BJ602,0)</f>
        <v>0</v>
      </c>
      <c r="AB602" s="13">
        <f>IF(AQ602="1",BH602,0)</f>
        <v>0</v>
      </c>
      <c r="AC602" s="13">
        <f>IF(AQ602="1",BI602,0)</f>
        <v>0</v>
      </c>
      <c r="AD602" s="13">
        <f>IF(AQ602="7",BH602,0)</f>
        <v>0</v>
      </c>
      <c r="AE602" s="13">
        <f>IF(AQ602="7",BI602,0)</f>
        <v>0</v>
      </c>
      <c r="AF602" s="13">
        <f>IF(AQ602="2",BH602,0)</f>
        <v>0</v>
      </c>
      <c r="AG602" s="13">
        <f>IF(AQ602="2",BI602,0)</f>
        <v>0</v>
      </c>
      <c r="AH602" s="13">
        <f>IF(AQ602="0",BJ602,0)</f>
        <v>0</v>
      </c>
      <c r="AI602" s="21" t="s">
        <v>669</v>
      </c>
      <c r="AJ602" s="13">
        <f>IF(AN602=0,M602,0)</f>
        <v>0</v>
      </c>
      <c r="AK602" s="13">
        <f>IF(AN602=15,M602,0)</f>
        <v>0</v>
      </c>
      <c r="AL602" s="13">
        <f>IF(AN602=21,M602,0)</f>
        <v>0</v>
      </c>
      <c r="AN602" s="13">
        <v>21</v>
      </c>
      <c r="AO602" s="13">
        <f>J602*0.0056565170297268</f>
        <v>0</v>
      </c>
      <c r="AP602" s="13">
        <f>J602*(1-0.0056565170297268)</f>
        <v>0</v>
      </c>
      <c r="AQ602" s="32" t="s">
        <v>1231</v>
      </c>
      <c r="AV602" s="13">
        <f>AW602+AX602</f>
        <v>0</v>
      </c>
      <c r="AW602" s="13">
        <f>I602*AO602</f>
        <v>0</v>
      </c>
      <c r="AX602" s="13">
        <f>I602*AP602</f>
        <v>0</v>
      </c>
      <c r="AY602" s="32" t="s">
        <v>98</v>
      </c>
      <c r="AZ602" s="32" t="s">
        <v>1173</v>
      </c>
      <c r="BA602" s="21" t="s">
        <v>1332</v>
      </c>
      <c r="BC602" s="13">
        <f>AW602+AX602</f>
        <v>0</v>
      </c>
      <c r="BD602" s="13">
        <f>J602/(100-BE602)*100</f>
        <v>0</v>
      </c>
      <c r="BE602" s="13">
        <v>0</v>
      </c>
      <c r="BF602" s="13">
        <f>602</f>
        <v>602</v>
      </c>
      <c r="BH602" s="13">
        <f>I602*AO602</f>
        <v>0</v>
      </c>
      <c r="BI602" s="13">
        <f>I602*AP602</f>
        <v>0</v>
      </c>
      <c r="BJ602" s="13">
        <f>I602*J602</f>
        <v>0</v>
      </c>
      <c r="BK602" s="13"/>
      <c r="BL602" s="13">
        <v>89</v>
      </c>
    </row>
    <row r="603" spans="1:64" ht="15" customHeight="1">
      <c r="A603" s="11" t="s">
        <v>745</v>
      </c>
      <c r="B603" s="48" t="s">
        <v>669</v>
      </c>
      <c r="C603" s="48" t="s">
        <v>1155</v>
      </c>
      <c r="D603" s="61" t="s">
        <v>237</v>
      </c>
      <c r="E603" s="61"/>
      <c r="F603" s="61"/>
      <c r="G603" s="61"/>
      <c r="H603" s="48" t="s">
        <v>1018</v>
      </c>
      <c r="I603" s="13">
        <v>695</v>
      </c>
      <c r="J603" s="13">
        <v>0</v>
      </c>
      <c r="K603" s="13">
        <f>I603*AO603</f>
        <v>0</v>
      </c>
      <c r="L603" s="13">
        <f>I603*AP603</f>
        <v>0</v>
      </c>
      <c r="M603" s="13">
        <f>I603*J603</f>
        <v>0</v>
      </c>
      <c r="N603" s="13">
        <v>0</v>
      </c>
      <c r="O603" s="10" t="s">
        <v>851</v>
      </c>
      <c r="Z603" s="13">
        <f>IF(AQ603="5",BJ603,0)</f>
        <v>0</v>
      </c>
      <c r="AB603" s="13">
        <f>IF(AQ603="1",BH603,0)</f>
        <v>0</v>
      </c>
      <c r="AC603" s="13">
        <f>IF(AQ603="1",BI603,0)</f>
        <v>0</v>
      </c>
      <c r="AD603" s="13">
        <f>IF(AQ603="7",BH603,0)</f>
        <v>0</v>
      </c>
      <c r="AE603" s="13">
        <f>IF(AQ603="7",BI603,0)</f>
        <v>0</v>
      </c>
      <c r="AF603" s="13">
        <f>IF(AQ603="2",BH603,0)</f>
        <v>0</v>
      </c>
      <c r="AG603" s="13">
        <f>IF(AQ603="2",BI603,0)</f>
        <v>0</v>
      </c>
      <c r="AH603" s="13">
        <f>IF(AQ603="0",BJ603,0)</f>
        <v>0</v>
      </c>
      <c r="AI603" s="21" t="s">
        <v>669</v>
      </c>
      <c r="AJ603" s="13">
        <f>IF(AN603=0,M603,0)</f>
        <v>0</v>
      </c>
      <c r="AK603" s="13">
        <f>IF(AN603=15,M603,0)</f>
        <v>0</v>
      </c>
      <c r="AL603" s="13">
        <f>IF(AN603=21,M603,0)</f>
        <v>0</v>
      </c>
      <c r="AN603" s="13">
        <v>21</v>
      </c>
      <c r="AO603" s="13">
        <f>J603*0.0239934932899553</f>
        <v>0</v>
      </c>
      <c r="AP603" s="13">
        <f>J603*(1-0.0239934932899553)</f>
        <v>0</v>
      </c>
      <c r="AQ603" s="32" t="s">
        <v>1231</v>
      </c>
      <c r="AV603" s="13">
        <f>AW603+AX603</f>
        <v>0</v>
      </c>
      <c r="AW603" s="13">
        <f>I603*AO603</f>
        <v>0</v>
      </c>
      <c r="AX603" s="13">
        <f>I603*AP603</f>
        <v>0</v>
      </c>
      <c r="AY603" s="32" t="s">
        <v>98</v>
      </c>
      <c r="AZ603" s="32" t="s">
        <v>1173</v>
      </c>
      <c r="BA603" s="21" t="s">
        <v>1332</v>
      </c>
      <c r="BC603" s="13">
        <f>AW603+AX603</f>
        <v>0</v>
      </c>
      <c r="BD603" s="13">
        <f>J603/(100-BE603)*100</f>
        <v>0</v>
      </c>
      <c r="BE603" s="13">
        <v>0</v>
      </c>
      <c r="BF603" s="13">
        <f>603</f>
        <v>603</v>
      </c>
      <c r="BH603" s="13">
        <f>I603*AO603</f>
        <v>0</v>
      </c>
      <c r="BI603" s="13">
        <f>I603*AP603</f>
        <v>0</v>
      </c>
      <c r="BJ603" s="13">
        <f>I603*J603</f>
        <v>0</v>
      </c>
      <c r="BK603" s="13"/>
      <c r="BL603" s="13">
        <v>89</v>
      </c>
    </row>
    <row r="604" spans="1:47" ht="15" customHeight="1">
      <c r="A604" s="30" t="s">
        <v>862</v>
      </c>
      <c r="B604" s="18" t="s">
        <v>669</v>
      </c>
      <c r="C604" s="18" t="s">
        <v>1305</v>
      </c>
      <c r="D604" s="73" t="s">
        <v>913</v>
      </c>
      <c r="E604" s="73"/>
      <c r="F604" s="73"/>
      <c r="G604" s="73"/>
      <c r="H604" s="15" t="s">
        <v>1148</v>
      </c>
      <c r="I604" s="15" t="s">
        <v>1148</v>
      </c>
      <c r="J604" s="15" t="s">
        <v>1148</v>
      </c>
      <c r="K604" s="56">
        <f>SUM(K605:K615)</f>
        <v>0</v>
      </c>
      <c r="L604" s="56">
        <f>SUM(L605:L615)</f>
        <v>0</v>
      </c>
      <c r="M604" s="56">
        <f>SUM(M605:M615)</f>
        <v>0</v>
      </c>
      <c r="N604" s="21" t="s">
        <v>862</v>
      </c>
      <c r="O604" s="47" t="s">
        <v>862</v>
      </c>
      <c r="AI604" s="21" t="s">
        <v>669</v>
      </c>
      <c r="AS604" s="56">
        <f>SUM(AJ605:AJ615)</f>
        <v>0</v>
      </c>
      <c r="AT604" s="56">
        <f>SUM(AK605:AK615)</f>
        <v>0</v>
      </c>
      <c r="AU604" s="56">
        <f>SUM(AL605:AL615)</f>
        <v>0</v>
      </c>
    </row>
    <row r="605" spans="1:64" ht="15" customHeight="1">
      <c r="A605" s="11" t="s">
        <v>1340</v>
      </c>
      <c r="B605" s="48" t="s">
        <v>669</v>
      </c>
      <c r="C605" s="48" t="s">
        <v>590</v>
      </c>
      <c r="D605" s="61" t="s">
        <v>223</v>
      </c>
      <c r="E605" s="61"/>
      <c r="F605" s="61"/>
      <c r="G605" s="61"/>
      <c r="H605" s="48" t="s">
        <v>1018</v>
      </c>
      <c r="I605" s="13">
        <v>695</v>
      </c>
      <c r="J605" s="13">
        <v>0</v>
      </c>
      <c r="K605" s="13">
        <f aca="true" t="shared" si="430" ref="K605:K615">I605*AO605</f>
        <v>0</v>
      </c>
      <c r="L605" s="13">
        <f aca="true" t="shared" si="431" ref="L605:L615">I605*AP605</f>
        <v>0</v>
      </c>
      <c r="M605" s="13">
        <f aca="true" t="shared" si="432" ref="M605:M615">I605*J605</f>
        <v>0</v>
      </c>
      <c r="N605" s="13">
        <v>0</v>
      </c>
      <c r="O605" s="10" t="s">
        <v>851</v>
      </c>
      <c r="Z605" s="13">
        <f aca="true" t="shared" si="433" ref="Z605:Z615">IF(AQ605="5",BJ605,0)</f>
        <v>0</v>
      </c>
      <c r="AB605" s="13">
        <f aca="true" t="shared" si="434" ref="AB605:AB615">IF(AQ605="1",BH605,0)</f>
        <v>0</v>
      </c>
      <c r="AC605" s="13">
        <f aca="true" t="shared" si="435" ref="AC605:AC615">IF(AQ605="1",BI605,0)</f>
        <v>0</v>
      </c>
      <c r="AD605" s="13">
        <f aca="true" t="shared" si="436" ref="AD605:AD615">IF(AQ605="7",BH605,0)</f>
        <v>0</v>
      </c>
      <c r="AE605" s="13">
        <f aca="true" t="shared" si="437" ref="AE605:AE615">IF(AQ605="7",BI605,0)</f>
        <v>0</v>
      </c>
      <c r="AF605" s="13">
        <f aca="true" t="shared" si="438" ref="AF605:AF615">IF(AQ605="2",BH605,0)</f>
        <v>0</v>
      </c>
      <c r="AG605" s="13">
        <f aca="true" t="shared" si="439" ref="AG605:AG615">IF(AQ605="2",BI605,0)</f>
        <v>0</v>
      </c>
      <c r="AH605" s="13">
        <f aca="true" t="shared" si="440" ref="AH605:AH615">IF(AQ605="0",BJ605,0)</f>
        <v>0</v>
      </c>
      <c r="AI605" s="21" t="s">
        <v>669</v>
      </c>
      <c r="AJ605" s="13">
        <f aca="true" t="shared" si="441" ref="AJ605:AJ615">IF(AN605=0,M605,0)</f>
        <v>0</v>
      </c>
      <c r="AK605" s="13">
        <f aca="true" t="shared" si="442" ref="AK605:AK615">IF(AN605=15,M605,0)</f>
        <v>0</v>
      </c>
      <c r="AL605" s="13">
        <f aca="true" t="shared" si="443" ref="AL605:AL615">IF(AN605=21,M605,0)</f>
        <v>0</v>
      </c>
      <c r="AN605" s="13">
        <v>21</v>
      </c>
      <c r="AO605" s="13">
        <f>J605*0</f>
        <v>0</v>
      </c>
      <c r="AP605" s="13">
        <f>J605*(1-0)</f>
        <v>0</v>
      </c>
      <c r="AQ605" s="32" t="s">
        <v>857</v>
      </c>
      <c r="AV605" s="13">
        <f aca="true" t="shared" si="444" ref="AV605:AV615">AW605+AX605</f>
        <v>0</v>
      </c>
      <c r="AW605" s="13">
        <f aca="true" t="shared" si="445" ref="AW605:AW615">I605*AO605</f>
        <v>0</v>
      </c>
      <c r="AX605" s="13">
        <f aca="true" t="shared" si="446" ref="AX605:AX615">I605*AP605</f>
        <v>0</v>
      </c>
      <c r="AY605" s="32" t="s">
        <v>1149</v>
      </c>
      <c r="AZ605" s="32" t="s">
        <v>1111</v>
      </c>
      <c r="BA605" s="21" t="s">
        <v>1332</v>
      </c>
      <c r="BC605" s="13">
        <f aca="true" t="shared" si="447" ref="BC605:BC615">AW605+AX605</f>
        <v>0</v>
      </c>
      <c r="BD605" s="13">
        <f aca="true" t="shared" si="448" ref="BD605:BD615">J605/(100-BE605)*100</f>
        <v>0</v>
      </c>
      <c r="BE605" s="13">
        <v>0</v>
      </c>
      <c r="BF605" s="13">
        <f>605</f>
        <v>605</v>
      </c>
      <c r="BH605" s="13">
        <f aca="true" t="shared" si="449" ref="BH605:BH615">I605*AO605</f>
        <v>0</v>
      </c>
      <c r="BI605" s="13">
        <f aca="true" t="shared" si="450" ref="BI605:BI615">I605*AP605</f>
        <v>0</v>
      </c>
      <c r="BJ605" s="13">
        <f aca="true" t="shared" si="451" ref="BJ605:BJ615">I605*J605</f>
        <v>0</v>
      </c>
      <c r="BK605" s="13"/>
      <c r="BL605" s="13"/>
    </row>
    <row r="606" spans="1:64" ht="15" customHeight="1">
      <c r="A606" s="11" t="s">
        <v>630</v>
      </c>
      <c r="B606" s="48" t="s">
        <v>669</v>
      </c>
      <c r="C606" s="48" t="s">
        <v>489</v>
      </c>
      <c r="D606" s="61" t="s">
        <v>510</v>
      </c>
      <c r="E606" s="61"/>
      <c r="F606" s="61"/>
      <c r="G606" s="61"/>
      <c r="H606" s="48" t="s">
        <v>1018</v>
      </c>
      <c r="I606" s="13">
        <v>260</v>
      </c>
      <c r="J606" s="13">
        <v>0</v>
      </c>
      <c r="K606" s="13">
        <f t="shared" si="430"/>
        <v>0</v>
      </c>
      <c r="L606" s="13">
        <f t="shared" si="431"/>
        <v>0</v>
      </c>
      <c r="M606" s="13">
        <f t="shared" si="432"/>
        <v>0</v>
      </c>
      <c r="N606" s="13">
        <v>0.00072</v>
      </c>
      <c r="O606" s="10" t="s">
        <v>851</v>
      </c>
      <c r="Z606" s="13">
        <f t="shared" si="433"/>
        <v>0</v>
      </c>
      <c r="AB606" s="13">
        <f t="shared" si="434"/>
        <v>0</v>
      </c>
      <c r="AC606" s="13">
        <f t="shared" si="435"/>
        <v>0</v>
      </c>
      <c r="AD606" s="13">
        <f t="shared" si="436"/>
        <v>0</v>
      </c>
      <c r="AE606" s="13">
        <f t="shared" si="437"/>
        <v>0</v>
      </c>
      <c r="AF606" s="13">
        <f t="shared" si="438"/>
        <v>0</v>
      </c>
      <c r="AG606" s="13">
        <f t="shared" si="439"/>
        <v>0</v>
      </c>
      <c r="AH606" s="13">
        <f t="shared" si="440"/>
        <v>0</v>
      </c>
      <c r="AI606" s="21" t="s">
        <v>669</v>
      </c>
      <c r="AJ606" s="13">
        <f t="shared" si="441"/>
        <v>0</v>
      </c>
      <c r="AK606" s="13">
        <f t="shared" si="442"/>
        <v>0</v>
      </c>
      <c r="AL606" s="13">
        <f t="shared" si="443"/>
        <v>0</v>
      </c>
      <c r="AN606" s="13">
        <v>21</v>
      </c>
      <c r="AO606" s="13">
        <f>J606*1</f>
        <v>0</v>
      </c>
      <c r="AP606" s="13">
        <f>J606*(1-1)</f>
        <v>0</v>
      </c>
      <c r="AQ606" s="32" t="s">
        <v>1231</v>
      </c>
      <c r="AV606" s="13">
        <f t="shared" si="444"/>
        <v>0</v>
      </c>
      <c r="AW606" s="13">
        <f t="shared" si="445"/>
        <v>0</v>
      </c>
      <c r="AX606" s="13">
        <f t="shared" si="446"/>
        <v>0</v>
      </c>
      <c r="AY606" s="32" t="s">
        <v>1149</v>
      </c>
      <c r="AZ606" s="32" t="s">
        <v>1111</v>
      </c>
      <c r="BA606" s="21" t="s">
        <v>1332</v>
      </c>
      <c r="BC606" s="13">
        <f t="shared" si="447"/>
        <v>0</v>
      </c>
      <c r="BD606" s="13">
        <f t="shared" si="448"/>
        <v>0</v>
      </c>
      <c r="BE606" s="13">
        <v>0</v>
      </c>
      <c r="BF606" s="13">
        <f>606</f>
        <v>606</v>
      </c>
      <c r="BH606" s="13">
        <f t="shared" si="449"/>
        <v>0</v>
      </c>
      <c r="BI606" s="13">
        <f t="shared" si="450"/>
        <v>0</v>
      </c>
      <c r="BJ606" s="13">
        <f t="shared" si="451"/>
        <v>0</v>
      </c>
      <c r="BK606" s="13"/>
      <c r="BL606" s="13"/>
    </row>
    <row r="607" spans="1:64" ht="15" customHeight="1">
      <c r="A607" s="11" t="s">
        <v>884</v>
      </c>
      <c r="B607" s="48" t="s">
        <v>669</v>
      </c>
      <c r="C607" s="48" t="s">
        <v>405</v>
      </c>
      <c r="D607" s="61" t="s">
        <v>163</v>
      </c>
      <c r="E607" s="61"/>
      <c r="F607" s="61"/>
      <c r="G607" s="61"/>
      <c r="H607" s="48" t="s">
        <v>1018</v>
      </c>
      <c r="I607" s="13">
        <v>175</v>
      </c>
      <c r="J607" s="13">
        <v>0</v>
      </c>
      <c r="K607" s="13">
        <f t="shared" si="430"/>
        <v>0</v>
      </c>
      <c r="L607" s="13">
        <f t="shared" si="431"/>
        <v>0</v>
      </c>
      <c r="M607" s="13">
        <f t="shared" si="432"/>
        <v>0</v>
      </c>
      <c r="N607" s="13">
        <v>0.00027</v>
      </c>
      <c r="O607" s="10" t="s">
        <v>851</v>
      </c>
      <c r="Z607" s="13">
        <f t="shared" si="433"/>
        <v>0</v>
      </c>
      <c r="AB607" s="13">
        <f t="shared" si="434"/>
        <v>0</v>
      </c>
      <c r="AC607" s="13">
        <f t="shared" si="435"/>
        <v>0</v>
      </c>
      <c r="AD607" s="13">
        <f t="shared" si="436"/>
        <v>0</v>
      </c>
      <c r="AE607" s="13">
        <f t="shared" si="437"/>
        <v>0</v>
      </c>
      <c r="AF607" s="13">
        <f t="shared" si="438"/>
        <v>0</v>
      </c>
      <c r="AG607" s="13">
        <f t="shared" si="439"/>
        <v>0</v>
      </c>
      <c r="AH607" s="13">
        <f t="shared" si="440"/>
        <v>0</v>
      </c>
      <c r="AI607" s="21" t="s">
        <v>669</v>
      </c>
      <c r="AJ607" s="13">
        <f t="shared" si="441"/>
        <v>0</v>
      </c>
      <c r="AK607" s="13">
        <f t="shared" si="442"/>
        <v>0</v>
      </c>
      <c r="AL607" s="13">
        <f t="shared" si="443"/>
        <v>0</v>
      </c>
      <c r="AN607" s="13">
        <v>21</v>
      </c>
      <c r="AO607" s="13">
        <f>J607*1</f>
        <v>0</v>
      </c>
      <c r="AP607" s="13">
        <f>J607*(1-1)</f>
        <v>0</v>
      </c>
      <c r="AQ607" s="32" t="s">
        <v>1231</v>
      </c>
      <c r="AV607" s="13">
        <f t="shared" si="444"/>
        <v>0</v>
      </c>
      <c r="AW607" s="13">
        <f t="shared" si="445"/>
        <v>0</v>
      </c>
      <c r="AX607" s="13">
        <f t="shared" si="446"/>
        <v>0</v>
      </c>
      <c r="AY607" s="32" t="s">
        <v>1149</v>
      </c>
      <c r="AZ607" s="32" t="s">
        <v>1111</v>
      </c>
      <c r="BA607" s="21" t="s">
        <v>1332</v>
      </c>
      <c r="BC607" s="13">
        <f t="shared" si="447"/>
        <v>0</v>
      </c>
      <c r="BD607" s="13">
        <f t="shared" si="448"/>
        <v>0</v>
      </c>
      <c r="BE607" s="13">
        <v>0</v>
      </c>
      <c r="BF607" s="13">
        <f>607</f>
        <v>607</v>
      </c>
      <c r="BH607" s="13">
        <f t="shared" si="449"/>
        <v>0</v>
      </c>
      <c r="BI607" s="13">
        <f t="shared" si="450"/>
        <v>0</v>
      </c>
      <c r="BJ607" s="13">
        <f t="shared" si="451"/>
        <v>0</v>
      </c>
      <c r="BK607" s="13"/>
      <c r="BL607" s="13"/>
    </row>
    <row r="608" spans="1:64" ht="15" customHeight="1">
      <c r="A608" s="11" t="s">
        <v>118</v>
      </c>
      <c r="B608" s="48" t="s">
        <v>669</v>
      </c>
      <c r="C608" s="48" t="s">
        <v>289</v>
      </c>
      <c r="D608" s="61" t="s">
        <v>752</v>
      </c>
      <c r="E608" s="61"/>
      <c r="F608" s="61"/>
      <c r="G608" s="61"/>
      <c r="H608" s="48" t="s">
        <v>1018</v>
      </c>
      <c r="I608" s="13">
        <v>460</v>
      </c>
      <c r="J608" s="13">
        <v>0</v>
      </c>
      <c r="K608" s="13">
        <f t="shared" si="430"/>
        <v>0</v>
      </c>
      <c r="L608" s="13">
        <f t="shared" si="431"/>
        <v>0</v>
      </c>
      <c r="M608" s="13">
        <f t="shared" si="432"/>
        <v>0</v>
      </c>
      <c r="N608" s="13">
        <v>0</v>
      </c>
      <c r="O608" s="10" t="s">
        <v>851</v>
      </c>
      <c r="Z608" s="13">
        <f t="shared" si="433"/>
        <v>0</v>
      </c>
      <c r="AB608" s="13">
        <f t="shared" si="434"/>
        <v>0</v>
      </c>
      <c r="AC608" s="13">
        <f t="shared" si="435"/>
        <v>0</v>
      </c>
      <c r="AD608" s="13">
        <f t="shared" si="436"/>
        <v>0</v>
      </c>
      <c r="AE608" s="13">
        <f t="shared" si="437"/>
        <v>0</v>
      </c>
      <c r="AF608" s="13">
        <f t="shared" si="438"/>
        <v>0</v>
      </c>
      <c r="AG608" s="13">
        <f t="shared" si="439"/>
        <v>0</v>
      </c>
      <c r="AH608" s="13">
        <f t="shared" si="440"/>
        <v>0</v>
      </c>
      <c r="AI608" s="21" t="s">
        <v>669</v>
      </c>
      <c r="AJ608" s="13">
        <f t="shared" si="441"/>
        <v>0</v>
      </c>
      <c r="AK608" s="13">
        <f t="shared" si="442"/>
        <v>0</v>
      </c>
      <c r="AL608" s="13">
        <f t="shared" si="443"/>
        <v>0</v>
      </c>
      <c r="AN608" s="13">
        <v>21</v>
      </c>
      <c r="AO608" s="13">
        <f>J608*0</f>
        <v>0</v>
      </c>
      <c r="AP608" s="13">
        <f>J608*(1-0)</f>
        <v>0</v>
      </c>
      <c r="AQ608" s="32" t="s">
        <v>1231</v>
      </c>
      <c r="AV608" s="13">
        <f t="shared" si="444"/>
        <v>0</v>
      </c>
      <c r="AW608" s="13">
        <f t="shared" si="445"/>
        <v>0</v>
      </c>
      <c r="AX608" s="13">
        <f t="shared" si="446"/>
        <v>0</v>
      </c>
      <c r="AY608" s="32" t="s">
        <v>1149</v>
      </c>
      <c r="AZ608" s="32" t="s">
        <v>1111</v>
      </c>
      <c r="BA608" s="21" t="s">
        <v>1332</v>
      </c>
      <c r="BC608" s="13">
        <f t="shared" si="447"/>
        <v>0</v>
      </c>
      <c r="BD608" s="13">
        <f t="shared" si="448"/>
        <v>0</v>
      </c>
      <c r="BE608" s="13">
        <v>0</v>
      </c>
      <c r="BF608" s="13">
        <f>608</f>
        <v>608</v>
      </c>
      <c r="BH608" s="13">
        <f t="shared" si="449"/>
        <v>0</v>
      </c>
      <c r="BI608" s="13">
        <f t="shared" si="450"/>
        <v>0</v>
      </c>
      <c r="BJ608" s="13">
        <f t="shared" si="451"/>
        <v>0</v>
      </c>
      <c r="BK608" s="13"/>
      <c r="BL608" s="13"/>
    </row>
    <row r="609" spans="1:64" ht="15" customHeight="1">
      <c r="A609" s="11" t="s">
        <v>1314</v>
      </c>
      <c r="B609" s="48" t="s">
        <v>669</v>
      </c>
      <c r="C609" s="48" t="s">
        <v>642</v>
      </c>
      <c r="D609" s="61" t="s">
        <v>871</v>
      </c>
      <c r="E609" s="61"/>
      <c r="F609" s="61"/>
      <c r="G609" s="61"/>
      <c r="H609" s="48" t="s">
        <v>299</v>
      </c>
      <c r="I609" s="13">
        <v>118</v>
      </c>
      <c r="J609" s="13">
        <v>0</v>
      </c>
      <c r="K609" s="13">
        <f t="shared" si="430"/>
        <v>0</v>
      </c>
      <c r="L609" s="13">
        <f t="shared" si="431"/>
        <v>0</v>
      </c>
      <c r="M609" s="13">
        <f t="shared" si="432"/>
        <v>0</v>
      </c>
      <c r="N609" s="13">
        <v>0</v>
      </c>
      <c r="O609" s="10" t="s">
        <v>851</v>
      </c>
      <c r="Z609" s="13">
        <f t="shared" si="433"/>
        <v>0</v>
      </c>
      <c r="AB609" s="13">
        <f t="shared" si="434"/>
        <v>0</v>
      </c>
      <c r="AC609" s="13">
        <f t="shared" si="435"/>
        <v>0</v>
      </c>
      <c r="AD609" s="13">
        <f t="shared" si="436"/>
        <v>0</v>
      </c>
      <c r="AE609" s="13">
        <f t="shared" si="437"/>
        <v>0</v>
      </c>
      <c r="AF609" s="13">
        <f t="shared" si="438"/>
        <v>0</v>
      </c>
      <c r="AG609" s="13">
        <f t="shared" si="439"/>
        <v>0</v>
      </c>
      <c r="AH609" s="13">
        <f t="shared" si="440"/>
        <v>0</v>
      </c>
      <c r="AI609" s="21" t="s">
        <v>669</v>
      </c>
      <c r="AJ609" s="13">
        <f t="shared" si="441"/>
        <v>0</v>
      </c>
      <c r="AK609" s="13">
        <f t="shared" si="442"/>
        <v>0</v>
      </c>
      <c r="AL609" s="13">
        <f t="shared" si="443"/>
        <v>0</v>
      </c>
      <c r="AN609" s="13">
        <v>21</v>
      </c>
      <c r="AO609" s="13">
        <f>J609*0</f>
        <v>0</v>
      </c>
      <c r="AP609" s="13">
        <f>J609*(1-0)</f>
        <v>0</v>
      </c>
      <c r="AQ609" s="32" t="s">
        <v>857</v>
      </c>
      <c r="AV609" s="13">
        <f t="shared" si="444"/>
        <v>0</v>
      </c>
      <c r="AW609" s="13">
        <f t="shared" si="445"/>
        <v>0</v>
      </c>
      <c r="AX609" s="13">
        <f t="shared" si="446"/>
        <v>0</v>
      </c>
      <c r="AY609" s="32" t="s">
        <v>1149</v>
      </c>
      <c r="AZ609" s="32" t="s">
        <v>1111</v>
      </c>
      <c r="BA609" s="21" t="s">
        <v>1332</v>
      </c>
      <c r="BC609" s="13">
        <f t="shared" si="447"/>
        <v>0</v>
      </c>
      <c r="BD609" s="13">
        <f t="shared" si="448"/>
        <v>0</v>
      </c>
      <c r="BE609" s="13">
        <v>0</v>
      </c>
      <c r="BF609" s="13">
        <f>609</f>
        <v>609</v>
      </c>
      <c r="BH609" s="13">
        <f t="shared" si="449"/>
        <v>0</v>
      </c>
      <c r="BI609" s="13">
        <f t="shared" si="450"/>
        <v>0</v>
      </c>
      <c r="BJ609" s="13">
        <f t="shared" si="451"/>
        <v>0</v>
      </c>
      <c r="BK609" s="13"/>
      <c r="BL609" s="13"/>
    </row>
    <row r="610" spans="1:64" ht="15" customHeight="1">
      <c r="A610" s="11" t="s">
        <v>78</v>
      </c>
      <c r="B610" s="48" t="s">
        <v>669</v>
      </c>
      <c r="C610" s="48" t="s">
        <v>267</v>
      </c>
      <c r="D610" s="61" t="s">
        <v>175</v>
      </c>
      <c r="E610" s="61"/>
      <c r="F610" s="61"/>
      <c r="G610" s="61"/>
      <c r="H610" s="48" t="s">
        <v>299</v>
      </c>
      <c r="I610" s="13">
        <v>2</v>
      </c>
      <c r="J610" s="13">
        <v>0</v>
      </c>
      <c r="K610" s="13">
        <f t="shared" si="430"/>
        <v>0</v>
      </c>
      <c r="L610" s="13">
        <f t="shared" si="431"/>
        <v>0</v>
      </c>
      <c r="M610" s="13">
        <f t="shared" si="432"/>
        <v>0</v>
      </c>
      <c r="N610" s="13">
        <v>0.00112</v>
      </c>
      <c r="O610" s="10" t="s">
        <v>851</v>
      </c>
      <c r="Z610" s="13">
        <f t="shared" si="433"/>
        <v>0</v>
      </c>
      <c r="AB610" s="13">
        <f t="shared" si="434"/>
        <v>0</v>
      </c>
      <c r="AC610" s="13">
        <f t="shared" si="435"/>
        <v>0</v>
      </c>
      <c r="AD610" s="13">
        <f t="shared" si="436"/>
        <v>0</v>
      </c>
      <c r="AE610" s="13">
        <f t="shared" si="437"/>
        <v>0</v>
      </c>
      <c r="AF610" s="13">
        <f t="shared" si="438"/>
        <v>0</v>
      </c>
      <c r="AG610" s="13">
        <f t="shared" si="439"/>
        <v>0</v>
      </c>
      <c r="AH610" s="13">
        <f t="shared" si="440"/>
        <v>0</v>
      </c>
      <c r="AI610" s="21" t="s">
        <v>669</v>
      </c>
      <c r="AJ610" s="13">
        <f t="shared" si="441"/>
        <v>0</v>
      </c>
      <c r="AK610" s="13">
        <f t="shared" si="442"/>
        <v>0</v>
      </c>
      <c r="AL610" s="13">
        <f t="shared" si="443"/>
        <v>0</v>
      </c>
      <c r="AN610" s="13">
        <v>21</v>
      </c>
      <c r="AO610" s="13">
        <f aca="true" t="shared" si="452" ref="AO610:AO615">J610*1</f>
        <v>0</v>
      </c>
      <c r="AP610" s="13">
        <f aca="true" t="shared" si="453" ref="AP610:AP615">J610*(1-1)</f>
        <v>0</v>
      </c>
      <c r="AQ610" s="32" t="s">
        <v>1231</v>
      </c>
      <c r="AV610" s="13">
        <f t="shared" si="444"/>
        <v>0</v>
      </c>
      <c r="AW610" s="13">
        <f t="shared" si="445"/>
        <v>0</v>
      </c>
      <c r="AX610" s="13">
        <f t="shared" si="446"/>
        <v>0</v>
      </c>
      <c r="AY610" s="32" t="s">
        <v>1149</v>
      </c>
      <c r="AZ610" s="32" t="s">
        <v>1111</v>
      </c>
      <c r="BA610" s="21" t="s">
        <v>1332</v>
      </c>
      <c r="BC610" s="13">
        <f t="shared" si="447"/>
        <v>0</v>
      </c>
      <c r="BD610" s="13">
        <f t="shared" si="448"/>
        <v>0</v>
      </c>
      <c r="BE610" s="13">
        <v>0</v>
      </c>
      <c r="BF610" s="13">
        <f>610</f>
        <v>610</v>
      </c>
      <c r="BH610" s="13">
        <f t="shared" si="449"/>
        <v>0</v>
      </c>
      <c r="BI610" s="13">
        <f t="shared" si="450"/>
        <v>0</v>
      </c>
      <c r="BJ610" s="13">
        <f t="shared" si="451"/>
        <v>0</v>
      </c>
      <c r="BK610" s="13"/>
      <c r="BL610" s="13"/>
    </row>
    <row r="611" spans="1:64" ht="15" customHeight="1">
      <c r="A611" s="11" t="s">
        <v>1241</v>
      </c>
      <c r="B611" s="48" t="s">
        <v>669</v>
      </c>
      <c r="C611" s="48" t="s">
        <v>79</v>
      </c>
      <c r="D611" s="61" t="s">
        <v>1257</v>
      </c>
      <c r="E611" s="61"/>
      <c r="F611" s="61"/>
      <c r="G611" s="61"/>
      <c r="H611" s="48" t="s">
        <v>299</v>
      </c>
      <c r="I611" s="13">
        <v>35</v>
      </c>
      <c r="J611" s="13">
        <v>0</v>
      </c>
      <c r="K611" s="13">
        <f t="shared" si="430"/>
        <v>0</v>
      </c>
      <c r="L611" s="13">
        <f t="shared" si="431"/>
        <v>0</v>
      </c>
      <c r="M611" s="13">
        <f t="shared" si="432"/>
        <v>0</v>
      </c>
      <c r="N611" s="13">
        <v>0.00031</v>
      </c>
      <c r="O611" s="10" t="s">
        <v>851</v>
      </c>
      <c r="Z611" s="13">
        <f t="shared" si="433"/>
        <v>0</v>
      </c>
      <c r="AB611" s="13">
        <f t="shared" si="434"/>
        <v>0</v>
      </c>
      <c r="AC611" s="13">
        <f t="shared" si="435"/>
        <v>0</v>
      </c>
      <c r="AD611" s="13">
        <f t="shared" si="436"/>
        <v>0</v>
      </c>
      <c r="AE611" s="13">
        <f t="shared" si="437"/>
        <v>0</v>
      </c>
      <c r="AF611" s="13">
        <f t="shared" si="438"/>
        <v>0</v>
      </c>
      <c r="AG611" s="13">
        <f t="shared" si="439"/>
        <v>0</v>
      </c>
      <c r="AH611" s="13">
        <f t="shared" si="440"/>
        <v>0</v>
      </c>
      <c r="AI611" s="21" t="s">
        <v>669</v>
      </c>
      <c r="AJ611" s="13">
        <f t="shared" si="441"/>
        <v>0</v>
      </c>
      <c r="AK611" s="13">
        <f t="shared" si="442"/>
        <v>0</v>
      </c>
      <c r="AL611" s="13">
        <f t="shared" si="443"/>
        <v>0</v>
      </c>
      <c r="AN611" s="13">
        <v>21</v>
      </c>
      <c r="AO611" s="13">
        <f t="shared" si="452"/>
        <v>0</v>
      </c>
      <c r="AP611" s="13">
        <f t="shared" si="453"/>
        <v>0</v>
      </c>
      <c r="AQ611" s="32" t="s">
        <v>1231</v>
      </c>
      <c r="AV611" s="13">
        <f t="shared" si="444"/>
        <v>0</v>
      </c>
      <c r="AW611" s="13">
        <f t="shared" si="445"/>
        <v>0</v>
      </c>
      <c r="AX611" s="13">
        <f t="shared" si="446"/>
        <v>0</v>
      </c>
      <c r="AY611" s="32" t="s">
        <v>1149</v>
      </c>
      <c r="AZ611" s="32" t="s">
        <v>1111</v>
      </c>
      <c r="BA611" s="21" t="s">
        <v>1332</v>
      </c>
      <c r="BC611" s="13">
        <f t="shared" si="447"/>
        <v>0</v>
      </c>
      <c r="BD611" s="13">
        <f t="shared" si="448"/>
        <v>0</v>
      </c>
      <c r="BE611" s="13">
        <v>0</v>
      </c>
      <c r="BF611" s="13">
        <f>611</f>
        <v>611</v>
      </c>
      <c r="BH611" s="13">
        <f t="shared" si="449"/>
        <v>0</v>
      </c>
      <c r="BI611" s="13">
        <f t="shared" si="450"/>
        <v>0</v>
      </c>
      <c r="BJ611" s="13">
        <f t="shared" si="451"/>
        <v>0</v>
      </c>
      <c r="BK611" s="13"/>
      <c r="BL611" s="13"/>
    </row>
    <row r="612" spans="1:64" ht="15" customHeight="1">
      <c r="A612" s="11" t="s">
        <v>403</v>
      </c>
      <c r="B612" s="48" t="s">
        <v>669</v>
      </c>
      <c r="C612" s="48" t="s">
        <v>1390</v>
      </c>
      <c r="D612" s="61" t="s">
        <v>1171</v>
      </c>
      <c r="E612" s="61"/>
      <c r="F612" s="61"/>
      <c r="G612" s="61"/>
      <c r="H612" s="48" t="s">
        <v>299</v>
      </c>
      <c r="I612" s="13">
        <v>2</v>
      </c>
      <c r="J612" s="13">
        <v>0</v>
      </c>
      <c r="K612" s="13">
        <f t="shared" si="430"/>
        <v>0</v>
      </c>
      <c r="L612" s="13">
        <f t="shared" si="431"/>
        <v>0</v>
      </c>
      <c r="M612" s="13">
        <f t="shared" si="432"/>
        <v>0</v>
      </c>
      <c r="N612" s="13">
        <v>0</v>
      </c>
      <c r="O612" s="10" t="s">
        <v>851</v>
      </c>
      <c r="Z612" s="13">
        <f t="shared" si="433"/>
        <v>0</v>
      </c>
      <c r="AB612" s="13">
        <f t="shared" si="434"/>
        <v>0</v>
      </c>
      <c r="AC612" s="13">
        <f t="shared" si="435"/>
        <v>0</v>
      </c>
      <c r="AD612" s="13">
        <f t="shared" si="436"/>
        <v>0</v>
      </c>
      <c r="AE612" s="13">
        <f t="shared" si="437"/>
        <v>0</v>
      </c>
      <c r="AF612" s="13">
        <f t="shared" si="438"/>
        <v>0</v>
      </c>
      <c r="AG612" s="13">
        <f t="shared" si="439"/>
        <v>0</v>
      </c>
      <c r="AH612" s="13">
        <f t="shared" si="440"/>
        <v>0</v>
      </c>
      <c r="AI612" s="21" t="s">
        <v>669</v>
      </c>
      <c r="AJ612" s="13">
        <f t="shared" si="441"/>
        <v>0</v>
      </c>
      <c r="AK612" s="13">
        <f t="shared" si="442"/>
        <v>0</v>
      </c>
      <c r="AL612" s="13">
        <f t="shared" si="443"/>
        <v>0</v>
      </c>
      <c r="AN612" s="13">
        <v>21</v>
      </c>
      <c r="AO612" s="13">
        <f t="shared" si="452"/>
        <v>0</v>
      </c>
      <c r="AP612" s="13">
        <f t="shared" si="453"/>
        <v>0</v>
      </c>
      <c r="AQ612" s="32" t="s">
        <v>1231</v>
      </c>
      <c r="AV612" s="13">
        <f t="shared" si="444"/>
        <v>0</v>
      </c>
      <c r="AW612" s="13">
        <f t="shared" si="445"/>
        <v>0</v>
      </c>
      <c r="AX612" s="13">
        <f t="shared" si="446"/>
        <v>0</v>
      </c>
      <c r="AY612" s="32" t="s">
        <v>1149</v>
      </c>
      <c r="AZ612" s="32" t="s">
        <v>1111</v>
      </c>
      <c r="BA612" s="21" t="s">
        <v>1332</v>
      </c>
      <c r="BC612" s="13">
        <f t="shared" si="447"/>
        <v>0</v>
      </c>
      <c r="BD612" s="13">
        <f t="shared" si="448"/>
        <v>0</v>
      </c>
      <c r="BE612" s="13">
        <v>0</v>
      </c>
      <c r="BF612" s="13">
        <f>612</f>
        <v>612</v>
      </c>
      <c r="BH612" s="13">
        <f t="shared" si="449"/>
        <v>0</v>
      </c>
      <c r="BI612" s="13">
        <f t="shared" si="450"/>
        <v>0</v>
      </c>
      <c r="BJ612" s="13">
        <f t="shared" si="451"/>
        <v>0</v>
      </c>
      <c r="BK612" s="13"/>
      <c r="BL612" s="13"/>
    </row>
    <row r="613" spans="1:64" ht="15" customHeight="1">
      <c r="A613" s="11" t="s">
        <v>173</v>
      </c>
      <c r="B613" s="48" t="s">
        <v>669</v>
      </c>
      <c r="C613" s="48" t="s">
        <v>925</v>
      </c>
      <c r="D613" s="61" t="s">
        <v>191</v>
      </c>
      <c r="E613" s="61"/>
      <c r="F613" s="61"/>
      <c r="G613" s="61"/>
      <c r="H613" s="48" t="s">
        <v>299</v>
      </c>
      <c r="I613" s="13">
        <v>35</v>
      </c>
      <c r="J613" s="13">
        <v>0</v>
      </c>
      <c r="K613" s="13">
        <f t="shared" si="430"/>
        <v>0</v>
      </c>
      <c r="L613" s="13">
        <f t="shared" si="431"/>
        <v>0</v>
      </c>
      <c r="M613" s="13">
        <f t="shared" si="432"/>
        <v>0</v>
      </c>
      <c r="N613" s="13">
        <v>0</v>
      </c>
      <c r="O613" s="10" t="s">
        <v>851</v>
      </c>
      <c r="Z613" s="13">
        <f t="shared" si="433"/>
        <v>0</v>
      </c>
      <c r="AB613" s="13">
        <f t="shared" si="434"/>
        <v>0</v>
      </c>
      <c r="AC613" s="13">
        <f t="shared" si="435"/>
        <v>0</v>
      </c>
      <c r="AD613" s="13">
        <f t="shared" si="436"/>
        <v>0</v>
      </c>
      <c r="AE613" s="13">
        <f t="shared" si="437"/>
        <v>0</v>
      </c>
      <c r="AF613" s="13">
        <f t="shared" si="438"/>
        <v>0</v>
      </c>
      <c r="AG613" s="13">
        <f t="shared" si="439"/>
        <v>0</v>
      </c>
      <c r="AH613" s="13">
        <f t="shared" si="440"/>
        <v>0</v>
      </c>
      <c r="AI613" s="21" t="s">
        <v>669</v>
      </c>
      <c r="AJ613" s="13">
        <f t="shared" si="441"/>
        <v>0</v>
      </c>
      <c r="AK613" s="13">
        <f t="shared" si="442"/>
        <v>0</v>
      </c>
      <c r="AL613" s="13">
        <f t="shared" si="443"/>
        <v>0</v>
      </c>
      <c r="AN613" s="13">
        <v>21</v>
      </c>
      <c r="AO613" s="13">
        <f t="shared" si="452"/>
        <v>0</v>
      </c>
      <c r="AP613" s="13">
        <f t="shared" si="453"/>
        <v>0</v>
      </c>
      <c r="AQ613" s="32" t="s">
        <v>1231</v>
      </c>
      <c r="AV613" s="13">
        <f t="shared" si="444"/>
        <v>0</v>
      </c>
      <c r="AW613" s="13">
        <f t="shared" si="445"/>
        <v>0</v>
      </c>
      <c r="AX613" s="13">
        <f t="shared" si="446"/>
        <v>0</v>
      </c>
      <c r="AY613" s="32" t="s">
        <v>1149</v>
      </c>
      <c r="AZ613" s="32" t="s">
        <v>1111</v>
      </c>
      <c r="BA613" s="21" t="s">
        <v>1332</v>
      </c>
      <c r="BC613" s="13">
        <f t="shared" si="447"/>
        <v>0</v>
      </c>
      <c r="BD613" s="13">
        <f t="shared" si="448"/>
        <v>0</v>
      </c>
      <c r="BE613" s="13">
        <v>0</v>
      </c>
      <c r="BF613" s="13">
        <f>613</f>
        <v>613</v>
      </c>
      <c r="BH613" s="13">
        <f t="shared" si="449"/>
        <v>0</v>
      </c>
      <c r="BI613" s="13">
        <f t="shared" si="450"/>
        <v>0</v>
      </c>
      <c r="BJ613" s="13">
        <f t="shared" si="451"/>
        <v>0</v>
      </c>
      <c r="BK613" s="13"/>
      <c r="BL613" s="13"/>
    </row>
    <row r="614" spans="1:64" ht="15" customHeight="1">
      <c r="A614" s="11" t="s">
        <v>1253</v>
      </c>
      <c r="B614" s="48" t="s">
        <v>669</v>
      </c>
      <c r="C614" s="48" t="s">
        <v>607</v>
      </c>
      <c r="D614" s="61" t="s">
        <v>320</v>
      </c>
      <c r="E614" s="61"/>
      <c r="F614" s="61"/>
      <c r="G614" s="61"/>
      <c r="H614" s="48" t="s">
        <v>299</v>
      </c>
      <c r="I614" s="13">
        <v>17</v>
      </c>
      <c r="J614" s="13">
        <v>0</v>
      </c>
      <c r="K614" s="13">
        <f t="shared" si="430"/>
        <v>0</v>
      </c>
      <c r="L614" s="13">
        <f t="shared" si="431"/>
        <v>0</v>
      </c>
      <c r="M614" s="13">
        <f t="shared" si="432"/>
        <v>0</v>
      </c>
      <c r="N614" s="13">
        <v>0</v>
      </c>
      <c r="O614" s="10" t="s">
        <v>851</v>
      </c>
      <c r="Z614" s="13">
        <f t="shared" si="433"/>
        <v>0</v>
      </c>
      <c r="AB614" s="13">
        <f t="shared" si="434"/>
        <v>0</v>
      </c>
      <c r="AC614" s="13">
        <f t="shared" si="435"/>
        <v>0</v>
      </c>
      <c r="AD614" s="13">
        <f t="shared" si="436"/>
        <v>0</v>
      </c>
      <c r="AE614" s="13">
        <f t="shared" si="437"/>
        <v>0</v>
      </c>
      <c r="AF614" s="13">
        <f t="shared" si="438"/>
        <v>0</v>
      </c>
      <c r="AG614" s="13">
        <f t="shared" si="439"/>
        <v>0</v>
      </c>
      <c r="AH614" s="13">
        <f t="shared" si="440"/>
        <v>0</v>
      </c>
      <c r="AI614" s="21" t="s">
        <v>669</v>
      </c>
      <c r="AJ614" s="13">
        <f t="shared" si="441"/>
        <v>0</v>
      </c>
      <c r="AK614" s="13">
        <f t="shared" si="442"/>
        <v>0</v>
      </c>
      <c r="AL614" s="13">
        <f t="shared" si="443"/>
        <v>0</v>
      </c>
      <c r="AN614" s="13">
        <v>21</v>
      </c>
      <c r="AO614" s="13">
        <f t="shared" si="452"/>
        <v>0</v>
      </c>
      <c r="AP614" s="13">
        <f t="shared" si="453"/>
        <v>0</v>
      </c>
      <c r="AQ614" s="32" t="s">
        <v>1231</v>
      </c>
      <c r="AV614" s="13">
        <f t="shared" si="444"/>
        <v>0</v>
      </c>
      <c r="AW614" s="13">
        <f t="shared" si="445"/>
        <v>0</v>
      </c>
      <c r="AX614" s="13">
        <f t="shared" si="446"/>
        <v>0</v>
      </c>
      <c r="AY614" s="32" t="s">
        <v>1149</v>
      </c>
      <c r="AZ614" s="32" t="s">
        <v>1111</v>
      </c>
      <c r="BA614" s="21" t="s">
        <v>1332</v>
      </c>
      <c r="BC614" s="13">
        <f t="shared" si="447"/>
        <v>0</v>
      </c>
      <c r="BD614" s="13">
        <f t="shared" si="448"/>
        <v>0</v>
      </c>
      <c r="BE614" s="13">
        <v>0</v>
      </c>
      <c r="BF614" s="13">
        <f>614</f>
        <v>614</v>
      </c>
      <c r="BH614" s="13">
        <f t="shared" si="449"/>
        <v>0</v>
      </c>
      <c r="BI614" s="13">
        <f t="shared" si="450"/>
        <v>0</v>
      </c>
      <c r="BJ614" s="13">
        <f t="shared" si="451"/>
        <v>0</v>
      </c>
      <c r="BK614" s="13"/>
      <c r="BL614" s="13"/>
    </row>
    <row r="615" spans="1:64" ht="15" customHeight="1">
      <c r="A615" s="26" t="s">
        <v>833</v>
      </c>
      <c r="B615" s="19" t="s">
        <v>669</v>
      </c>
      <c r="C615" s="19" t="s">
        <v>760</v>
      </c>
      <c r="D615" s="70" t="s">
        <v>324</v>
      </c>
      <c r="E615" s="70"/>
      <c r="F615" s="70"/>
      <c r="G615" s="70"/>
      <c r="H615" s="19" t="s">
        <v>299</v>
      </c>
      <c r="I615" s="36">
        <v>18</v>
      </c>
      <c r="J615" s="36">
        <v>0</v>
      </c>
      <c r="K615" s="36">
        <f t="shared" si="430"/>
        <v>0</v>
      </c>
      <c r="L615" s="36">
        <f t="shared" si="431"/>
        <v>0</v>
      </c>
      <c r="M615" s="36">
        <f t="shared" si="432"/>
        <v>0</v>
      </c>
      <c r="N615" s="36">
        <v>0</v>
      </c>
      <c r="O615" s="24" t="s">
        <v>851</v>
      </c>
      <c r="Z615" s="13">
        <f t="shared" si="433"/>
        <v>0</v>
      </c>
      <c r="AB615" s="13">
        <f t="shared" si="434"/>
        <v>0</v>
      </c>
      <c r="AC615" s="13">
        <f t="shared" si="435"/>
        <v>0</v>
      </c>
      <c r="AD615" s="13">
        <f t="shared" si="436"/>
        <v>0</v>
      </c>
      <c r="AE615" s="13">
        <f t="shared" si="437"/>
        <v>0</v>
      </c>
      <c r="AF615" s="13">
        <f t="shared" si="438"/>
        <v>0</v>
      </c>
      <c r="AG615" s="13">
        <f t="shared" si="439"/>
        <v>0</v>
      </c>
      <c r="AH615" s="13">
        <f t="shared" si="440"/>
        <v>0</v>
      </c>
      <c r="AI615" s="21" t="s">
        <v>669</v>
      </c>
      <c r="AJ615" s="13">
        <f t="shared" si="441"/>
        <v>0</v>
      </c>
      <c r="AK615" s="13">
        <f t="shared" si="442"/>
        <v>0</v>
      </c>
      <c r="AL615" s="13">
        <f t="shared" si="443"/>
        <v>0</v>
      </c>
      <c r="AN615" s="13">
        <v>21</v>
      </c>
      <c r="AO615" s="13">
        <f t="shared" si="452"/>
        <v>0</v>
      </c>
      <c r="AP615" s="13">
        <f t="shared" si="453"/>
        <v>0</v>
      </c>
      <c r="AQ615" s="32" t="s">
        <v>1231</v>
      </c>
      <c r="AV615" s="13">
        <f t="shared" si="444"/>
        <v>0</v>
      </c>
      <c r="AW615" s="13">
        <f t="shared" si="445"/>
        <v>0</v>
      </c>
      <c r="AX615" s="13">
        <f t="shared" si="446"/>
        <v>0</v>
      </c>
      <c r="AY615" s="32" t="s">
        <v>1149</v>
      </c>
      <c r="AZ615" s="32" t="s">
        <v>1111</v>
      </c>
      <c r="BA615" s="21" t="s">
        <v>1332</v>
      </c>
      <c r="BC615" s="13">
        <f t="shared" si="447"/>
        <v>0</v>
      </c>
      <c r="BD615" s="13">
        <f t="shared" si="448"/>
        <v>0</v>
      </c>
      <c r="BE615" s="13">
        <v>0</v>
      </c>
      <c r="BF615" s="13">
        <f>615</f>
        <v>615</v>
      </c>
      <c r="BH615" s="13">
        <f t="shared" si="449"/>
        <v>0</v>
      </c>
      <c r="BI615" s="13">
        <f t="shared" si="450"/>
        <v>0</v>
      </c>
      <c r="BJ615" s="13">
        <f t="shared" si="451"/>
        <v>0</v>
      </c>
      <c r="BK615" s="13"/>
      <c r="BL615" s="13"/>
    </row>
    <row r="616" spans="11:13" ht="15" customHeight="1">
      <c r="K616" s="67" t="s">
        <v>987</v>
      </c>
      <c r="L616" s="67"/>
      <c r="M616" s="51">
        <f>M13+M15+M17+M20+M23+M30+M34+M42+M50+M52+M54+M59+M62+M64+M66+M70+M72+M76+M80+M84+M94+M96+M101+M104+M109+M112+M115+M118+M120+M123+M130+M132+M142+M178+M180+M183+M186+M196+M213+M217+M220+M223+M226+M229+M231+M234+M238+M243+M264+M293+M296+M298+M307+M320+M323+M326+M329+M332+M334+M336+M342+M346+M350+M363+M365+M368+M371+M374+M377+M380+M383+M385+M388+M390+M399+M406+M426+M428+M436+M438+M440+M443+M446+M449+M451+M453+M459+M466+M468+M470+M506+M509+M511+M514+M516+M519+M523+M530+M532+M534+M538+M547+M557+M561+M565+M567+M573+M577+M581+M583+M586+M588+M592+M596+M598+M601+M604</f>
        <v>0</v>
      </c>
    </row>
    <row r="617" ht="15" customHeight="1">
      <c r="A617" s="4" t="s">
        <v>106</v>
      </c>
    </row>
    <row r="618" spans="1:15" ht="12.75" customHeight="1">
      <c r="A618" s="64" t="s">
        <v>862</v>
      </c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</row>
  </sheetData>
  <sheetProtection/>
  <mergeCells count="632">
    <mergeCell ref="D612:G612"/>
    <mergeCell ref="D613:G613"/>
    <mergeCell ref="D614:G614"/>
    <mergeCell ref="D615:G615"/>
    <mergeCell ref="K616:L616"/>
    <mergeCell ref="A618:O618"/>
    <mergeCell ref="D606:G606"/>
    <mergeCell ref="D607:G607"/>
    <mergeCell ref="D608:G608"/>
    <mergeCell ref="D609:G609"/>
    <mergeCell ref="D610:G610"/>
    <mergeCell ref="D611:G611"/>
    <mergeCell ref="D600:G600"/>
    <mergeCell ref="D601:G601"/>
    <mergeCell ref="D602:G602"/>
    <mergeCell ref="D603:G603"/>
    <mergeCell ref="D604:G604"/>
    <mergeCell ref="D605:G605"/>
    <mergeCell ref="D594:G594"/>
    <mergeCell ref="D595:G595"/>
    <mergeCell ref="D596:G596"/>
    <mergeCell ref="D597:G597"/>
    <mergeCell ref="D598:G598"/>
    <mergeCell ref="D599:G599"/>
    <mergeCell ref="D588:G588"/>
    <mergeCell ref="D589:G589"/>
    <mergeCell ref="D590:O590"/>
    <mergeCell ref="D591:G591"/>
    <mergeCell ref="D592:G592"/>
    <mergeCell ref="D593:G593"/>
    <mergeCell ref="D582:G582"/>
    <mergeCell ref="D583:G583"/>
    <mergeCell ref="D584:G584"/>
    <mergeCell ref="D585:G585"/>
    <mergeCell ref="D586:G586"/>
    <mergeCell ref="D587:G587"/>
    <mergeCell ref="D576:G576"/>
    <mergeCell ref="D577:G577"/>
    <mergeCell ref="D578:G578"/>
    <mergeCell ref="D579:G579"/>
    <mergeCell ref="D580:G580"/>
    <mergeCell ref="D581:G581"/>
    <mergeCell ref="D570:G570"/>
    <mergeCell ref="D571:G571"/>
    <mergeCell ref="D572:G572"/>
    <mergeCell ref="D573:G573"/>
    <mergeCell ref="D574:G574"/>
    <mergeCell ref="D575:O575"/>
    <mergeCell ref="D564:G564"/>
    <mergeCell ref="D565:G565"/>
    <mergeCell ref="D566:G566"/>
    <mergeCell ref="D567:G567"/>
    <mergeCell ref="D568:G568"/>
    <mergeCell ref="D569:G569"/>
    <mergeCell ref="D558:G558"/>
    <mergeCell ref="D559:G559"/>
    <mergeCell ref="D560:G560"/>
    <mergeCell ref="D561:G561"/>
    <mergeCell ref="D562:G562"/>
    <mergeCell ref="D563:G563"/>
    <mergeCell ref="D552:G552"/>
    <mergeCell ref="D553:G553"/>
    <mergeCell ref="D554:G554"/>
    <mergeCell ref="D555:G555"/>
    <mergeCell ref="D556:G556"/>
    <mergeCell ref="D557:G557"/>
    <mergeCell ref="D546:O546"/>
    <mergeCell ref="D547:G547"/>
    <mergeCell ref="D548:G548"/>
    <mergeCell ref="D549:G549"/>
    <mergeCell ref="D550:G550"/>
    <mergeCell ref="D551:G551"/>
    <mergeCell ref="D540:O540"/>
    <mergeCell ref="D541:G541"/>
    <mergeCell ref="D542:O542"/>
    <mergeCell ref="D543:G543"/>
    <mergeCell ref="D544:O544"/>
    <mergeCell ref="D545:G545"/>
    <mergeCell ref="D534:G534"/>
    <mergeCell ref="D535:G535"/>
    <mergeCell ref="D536:G536"/>
    <mergeCell ref="D537:G537"/>
    <mergeCell ref="D538:G538"/>
    <mergeCell ref="D539:G539"/>
    <mergeCell ref="D528:G528"/>
    <mergeCell ref="D529:G529"/>
    <mergeCell ref="D530:G530"/>
    <mergeCell ref="D531:G531"/>
    <mergeCell ref="D532:G532"/>
    <mergeCell ref="D533:G533"/>
    <mergeCell ref="D522:G522"/>
    <mergeCell ref="D523:G523"/>
    <mergeCell ref="D524:G524"/>
    <mergeCell ref="D525:G525"/>
    <mergeCell ref="D526:G526"/>
    <mergeCell ref="D527:O527"/>
    <mergeCell ref="D516:G516"/>
    <mergeCell ref="D517:G517"/>
    <mergeCell ref="D518:G518"/>
    <mergeCell ref="D519:G519"/>
    <mergeCell ref="D520:G520"/>
    <mergeCell ref="D521:O521"/>
    <mergeCell ref="D510:G510"/>
    <mergeCell ref="D511:G511"/>
    <mergeCell ref="D512:G512"/>
    <mergeCell ref="D513:O513"/>
    <mergeCell ref="D514:G514"/>
    <mergeCell ref="D515:G515"/>
    <mergeCell ref="D504:G504"/>
    <mergeCell ref="D505:O505"/>
    <mergeCell ref="D506:G506"/>
    <mergeCell ref="D507:G507"/>
    <mergeCell ref="D508:G508"/>
    <mergeCell ref="D509:G509"/>
    <mergeCell ref="D498:G498"/>
    <mergeCell ref="D499:O499"/>
    <mergeCell ref="D500:G500"/>
    <mergeCell ref="D501:O501"/>
    <mergeCell ref="D502:G502"/>
    <mergeCell ref="D503:G503"/>
    <mergeCell ref="D492:G492"/>
    <mergeCell ref="D493:G493"/>
    <mergeCell ref="D494:G494"/>
    <mergeCell ref="D495:O495"/>
    <mergeCell ref="D496:G496"/>
    <mergeCell ref="D497:O497"/>
    <mergeCell ref="D486:O486"/>
    <mergeCell ref="D487:G487"/>
    <mergeCell ref="D488:G488"/>
    <mergeCell ref="D489:G489"/>
    <mergeCell ref="D490:G490"/>
    <mergeCell ref="D491:G491"/>
    <mergeCell ref="D480:G480"/>
    <mergeCell ref="D481:G481"/>
    <mergeCell ref="D482:G482"/>
    <mergeCell ref="D483:G483"/>
    <mergeCell ref="D484:G484"/>
    <mergeCell ref="D485:G485"/>
    <mergeCell ref="D474:G474"/>
    <mergeCell ref="D475:G475"/>
    <mergeCell ref="D476:G476"/>
    <mergeCell ref="D477:G477"/>
    <mergeCell ref="D478:G478"/>
    <mergeCell ref="D479:O479"/>
    <mergeCell ref="D468:G468"/>
    <mergeCell ref="D469:G469"/>
    <mergeCell ref="D470:G470"/>
    <mergeCell ref="D471:G471"/>
    <mergeCell ref="D472:G472"/>
    <mergeCell ref="D473:G473"/>
    <mergeCell ref="D462:G462"/>
    <mergeCell ref="D463:G463"/>
    <mergeCell ref="D464:G464"/>
    <mergeCell ref="D465:G465"/>
    <mergeCell ref="D466:G466"/>
    <mergeCell ref="D467:G467"/>
    <mergeCell ref="D456:G456"/>
    <mergeCell ref="D457:G457"/>
    <mergeCell ref="D458:G458"/>
    <mergeCell ref="D459:G459"/>
    <mergeCell ref="D460:G460"/>
    <mergeCell ref="D461:G461"/>
    <mergeCell ref="D450:G450"/>
    <mergeCell ref="D451:G451"/>
    <mergeCell ref="D452:G452"/>
    <mergeCell ref="D453:G453"/>
    <mergeCell ref="D454:G454"/>
    <mergeCell ref="D455:G455"/>
    <mergeCell ref="D444:G444"/>
    <mergeCell ref="D445:G445"/>
    <mergeCell ref="D446:G446"/>
    <mergeCell ref="D447:G447"/>
    <mergeCell ref="D448:G448"/>
    <mergeCell ref="D449:G449"/>
    <mergeCell ref="D438:G438"/>
    <mergeCell ref="D439:G439"/>
    <mergeCell ref="D440:G440"/>
    <mergeCell ref="D441:G441"/>
    <mergeCell ref="D442:G442"/>
    <mergeCell ref="D443:G443"/>
    <mergeCell ref="D432:G432"/>
    <mergeCell ref="D433:G433"/>
    <mergeCell ref="D434:G434"/>
    <mergeCell ref="D435:G435"/>
    <mergeCell ref="D436:G436"/>
    <mergeCell ref="D437:G437"/>
    <mergeCell ref="D426:G426"/>
    <mergeCell ref="D427:G427"/>
    <mergeCell ref="D428:G428"/>
    <mergeCell ref="D429:G429"/>
    <mergeCell ref="D430:G430"/>
    <mergeCell ref="D431:G431"/>
    <mergeCell ref="D420:G420"/>
    <mergeCell ref="D421:G421"/>
    <mergeCell ref="D422:G422"/>
    <mergeCell ref="D423:G423"/>
    <mergeCell ref="D424:G424"/>
    <mergeCell ref="D425:G425"/>
    <mergeCell ref="D414:G414"/>
    <mergeCell ref="D415:G415"/>
    <mergeCell ref="D416:G416"/>
    <mergeCell ref="D417:G417"/>
    <mergeCell ref="D418:G418"/>
    <mergeCell ref="D419:G419"/>
    <mergeCell ref="D408:G408"/>
    <mergeCell ref="D409:G409"/>
    <mergeCell ref="D410:G410"/>
    <mergeCell ref="D411:G411"/>
    <mergeCell ref="D412:G412"/>
    <mergeCell ref="D413:G413"/>
    <mergeCell ref="D402:G402"/>
    <mergeCell ref="D403:G403"/>
    <mergeCell ref="D404:G404"/>
    <mergeCell ref="D405:G405"/>
    <mergeCell ref="D406:G406"/>
    <mergeCell ref="D407:G407"/>
    <mergeCell ref="D396:G396"/>
    <mergeCell ref="D397:G397"/>
    <mergeCell ref="D398:G398"/>
    <mergeCell ref="D399:G399"/>
    <mergeCell ref="D400:G400"/>
    <mergeCell ref="D401:G401"/>
    <mergeCell ref="D390:G390"/>
    <mergeCell ref="D391:G391"/>
    <mergeCell ref="D392:G392"/>
    <mergeCell ref="D393:G393"/>
    <mergeCell ref="D394:G394"/>
    <mergeCell ref="D395:G395"/>
    <mergeCell ref="D384:G384"/>
    <mergeCell ref="D385:G385"/>
    <mergeCell ref="D386:G386"/>
    <mergeCell ref="D387:G387"/>
    <mergeCell ref="D388:G388"/>
    <mergeCell ref="D389:G389"/>
    <mergeCell ref="D378:G378"/>
    <mergeCell ref="D379:G379"/>
    <mergeCell ref="D380:G380"/>
    <mergeCell ref="D381:G381"/>
    <mergeCell ref="D382:G382"/>
    <mergeCell ref="D383:G383"/>
    <mergeCell ref="D372:G372"/>
    <mergeCell ref="D373:G373"/>
    <mergeCell ref="D374:G374"/>
    <mergeCell ref="D375:G375"/>
    <mergeCell ref="D376:G376"/>
    <mergeCell ref="D377:G377"/>
    <mergeCell ref="D366:G366"/>
    <mergeCell ref="D367:G367"/>
    <mergeCell ref="D368:G368"/>
    <mergeCell ref="D369:G369"/>
    <mergeCell ref="D370:G370"/>
    <mergeCell ref="D371:G371"/>
    <mergeCell ref="D360:G360"/>
    <mergeCell ref="D361:G361"/>
    <mergeCell ref="D362:G362"/>
    <mergeCell ref="D363:G363"/>
    <mergeCell ref="D364:G364"/>
    <mergeCell ref="D365:G365"/>
    <mergeCell ref="D354:G354"/>
    <mergeCell ref="D355:G355"/>
    <mergeCell ref="D356:G356"/>
    <mergeCell ref="D357:G357"/>
    <mergeCell ref="D358:G358"/>
    <mergeCell ref="D359:G359"/>
    <mergeCell ref="D348:G348"/>
    <mergeCell ref="D349:G349"/>
    <mergeCell ref="D350:G350"/>
    <mergeCell ref="D351:G351"/>
    <mergeCell ref="D352:G352"/>
    <mergeCell ref="D353:G353"/>
    <mergeCell ref="D342:G342"/>
    <mergeCell ref="D343:G343"/>
    <mergeCell ref="D344:G344"/>
    <mergeCell ref="D345:G345"/>
    <mergeCell ref="D346:G346"/>
    <mergeCell ref="D347:G347"/>
    <mergeCell ref="D336:G336"/>
    <mergeCell ref="D337:G337"/>
    <mergeCell ref="D338:G338"/>
    <mergeCell ref="D339:G339"/>
    <mergeCell ref="D340:G340"/>
    <mergeCell ref="D341:G341"/>
    <mergeCell ref="D330:G330"/>
    <mergeCell ref="D331:G331"/>
    <mergeCell ref="D332:G332"/>
    <mergeCell ref="D333:G333"/>
    <mergeCell ref="D334:G334"/>
    <mergeCell ref="D335:G335"/>
    <mergeCell ref="D324:G324"/>
    <mergeCell ref="D325:G325"/>
    <mergeCell ref="D326:G326"/>
    <mergeCell ref="D327:G327"/>
    <mergeCell ref="D328:G328"/>
    <mergeCell ref="D329:G329"/>
    <mergeCell ref="D318:G318"/>
    <mergeCell ref="D319:G319"/>
    <mergeCell ref="D320:G320"/>
    <mergeCell ref="D321:G321"/>
    <mergeCell ref="D322:G322"/>
    <mergeCell ref="D323:G323"/>
    <mergeCell ref="D312:G312"/>
    <mergeCell ref="D313:G313"/>
    <mergeCell ref="D314:G314"/>
    <mergeCell ref="D315:G315"/>
    <mergeCell ref="D316:G316"/>
    <mergeCell ref="D317:G317"/>
    <mergeCell ref="D306:G306"/>
    <mergeCell ref="D307:G307"/>
    <mergeCell ref="D308:G308"/>
    <mergeCell ref="D309:G309"/>
    <mergeCell ref="D310:G310"/>
    <mergeCell ref="D311:G311"/>
    <mergeCell ref="D300:G300"/>
    <mergeCell ref="D301:G301"/>
    <mergeCell ref="D302:G302"/>
    <mergeCell ref="D303:G303"/>
    <mergeCell ref="D304:G304"/>
    <mergeCell ref="D305:G305"/>
    <mergeCell ref="D294:G294"/>
    <mergeCell ref="D295:G295"/>
    <mergeCell ref="D296:G296"/>
    <mergeCell ref="D297:G297"/>
    <mergeCell ref="D298:G298"/>
    <mergeCell ref="D299:G299"/>
    <mergeCell ref="D288:G288"/>
    <mergeCell ref="D289:G289"/>
    <mergeCell ref="D290:G290"/>
    <mergeCell ref="D291:G291"/>
    <mergeCell ref="D292:G292"/>
    <mergeCell ref="D293:G293"/>
    <mergeCell ref="D282:G282"/>
    <mergeCell ref="D283:G283"/>
    <mergeCell ref="D284:G284"/>
    <mergeCell ref="D285:G285"/>
    <mergeCell ref="D286:G286"/>
    <mergeCell ref="D287:G287"/>
    <mergeCell ref="D276:G276"/>
    <mergeCell ref="D277:G277"/>
    <mergeCell ref="D278:G278"/>
    <mergeCell ref="D279:G279"/>
    <mergeCell ref="D280:G280"/>
    <mergeCell ref="D281:G281"/>
    <mergeCell ref="D270:G270"/>
    <mergeCell ref="D271:G271"/>
    <mergeCell ref="D272:G272"/>
    <mergeCell ref="D273:G273"/>
    <mergeCell ref="D274:G274"/>
    <mergeCell ref="D275:G275"/>
    <mergeCell ref="D264:G264"/>
    <mergeCell ref="D265:G265"/>
    <mergeCell ref="D266:G266"/>
    <mergeCell ref="D267:G267"/>
    <mergeCell ref="D268:G268"/>
    <mergeCell ref="D269:G269"/>
    <mergeCell ref="D258:G258"/>
    <mergeCell ref="D259:G259"/>
    <mergeCell ref="D260:G260"/>
    <mergeCell ref="D261:G261"/>
    <mergeCell ref="D262:G262"/>
    <mergeCell ref="D263:G263"/>
    <mergeCell ref="D252:G252"/>
    <mergeCell ref="D253:G253"/>
    <mergeCell ref="D254:G254"/>
    <mergeCell ref="D255:G255"/>
    <mergeCell ref="D256:G256"/>
    <mergeCell ref="D257:G257"/>
    <mergeCell ref="D246:G246"/>
    <mergeCell ref="D247:G247"/>
    <mergeCell ref="D248:G248"/>
    <mergeCell ref="D249:G249"/>
    <mergeCell ref="D250:G250"/>
    <mergeCell ref="D251:G251"/>
    <mergeCell ref="D240:G240"/>
    <mergeCell ref="D241:G241"/>
    <mergeCell ref="D242:G242"/>
    <mergeCell ref="D243:G243"/>
    <mergeCell ref="D244:G244"/>
    <mergeCell ref="D245:G245"/>
    <mergeCell ref="D234:G234"/>
    <mergeCell ref="D235:G235"/>
    <mergeCell ref="D236:G236"/>
    <mergeCell ref="D237:G237"/>
    <mergeCell ref="D238:G238"/>
    <mergeCell ref="D239:G239"/>
    <mergeCell ref="D228:G228"/>
    <mergeCell ref="D229:G229"/>
    <mergeCell ref="D230:G230"/>
    <mergeCell ref="D231:G231"/>
    <mergeCell ref="D232:G232"/>
    <mergeCell ref="D233:G233"/>
    <mergeCell ref="D222:G222"/>
    <mergeCell ref="D223:G223"/>
    <mergeCell ref="D224:G224"/>
    <mergeCell ref="D225:G225"/>
    <mergeCell ref="D226:G226"/>
    <mergeCell ref="D227:G227"/>
    <mergeCell ref="D216:G216"/>
    <mergeCell ref="D217:G217"/>
    <mergeCell ref="D218:G218"/>
    <mergeCell ref="D219:G219"/>
    <mergeCell ref="D220:G220"/>
    <mergeCell ref="D221:G221"/>
    <mergeCell ref="D210:G210"/>
    <mergeCell ref="D211:G211"/>
    <mergeCell ref="D212:G212"/>
    <mergeCell ref="D213:G213"/>
    <mergeCell ref="D214:G214"/>
    <mergeCell ref="D215:G215"/>
    <mergeCell ref="D204:G204"/>
    <mergeCell ref="D205:G205"/>
    <mergeCell ref="D206:G206"/>
    <mergeCell ref="D207:G207"/>
    <mergeCell ref="D208:G208"/>
    <mergeCell ref="D209:G209"/>
    <mergeCell ref="D198:G198"/>
    <mergeCell ref="D199:G199"/>
    <mergeCell ref="D200:G200"/>
    <mergeCell ref="D201:G201"/>
    <mergeCell ref="D202:G202"/>
    <mergeCell ref="D203:G203"/>
    <mergeCell ref="D192:G192"/>
    <mergeCell ref="D193:G193"/>
    <mergeCell ref="D194:G194"/>
    <mergeCell ref="D195:G195"/>
    <mergeCell ref="D196:G196"/>
    <mergeCell ref="D197:G197"/>
    <mergeCell ref="D186:G186"/>
    <mergeCell ref="D187:G187"/>
    <mergeCell ref="D188:G188"/>
    <mergeCell ref="D189:G189"/>
    <mergeCell ref="D190:G190"/>
    <mergeCell ref="D191:G191"/>
    <mergeCell ref="D180:G180"/>
    <mergeCell ref="D181:G181"/>
    <mergeCell ref="D182:G182"/>
    <mergeCell ref="D183:G183"/>
    <mergeCell ref="D184:G184"/>
    <mergeCell ref="D185:G185"/>
    <mergeCell ref="D174:G174"/>
    <mergeCell ref="D175:G175"/>
    <mergeCell ref="D176:G176"/>
    <mergeCell ref="D177:G177"/>
    <mergeCell ref="D178:G178"/>
    <mergeCell ref="D179:G179"/>
    <mergeCell ref="D168:G168"/>
    <mergeCell ref="D169:G169"/>
    <mergeCell ref="D170:G170"/>
    <mergeCell ref="D171:G171"/>
    <mergeCell ref="D172:G172"/>
    <mergeCell ref="D173:G173"/>
    <mergeCell ref="D162:G162"/>
    <mergeCell ref="D163:G163"/>
    <mergeCell ref="D164:G164"/>
    <mergeCell ref="D165:G165"/>
    <mergeCell ref="D166:G166"/>
    <mergeCell ref="D167:G167"/>
    <mergeCell ref="D156:G156"/>
    <mergeCell ref="D157:G157"/>
    <mergeCell ref="D158:G158"/>
    <mergeCell ref="D159:G159"/>
    <mergeCell ref="D160:G160"/>
    <mergeCell ref="D161:G161"/>
    <mergeCell ref="D150:G150"/>
    <mergeCell ref="D151:G151"/>
    <mergeCell ref="D152:G152"/>
    <mergeCell ref="D153:G153"/>
    <mergeCell ref="D154:G154"/>
    <mergeCell ref="D155:G155"/>
    <mergeCell ref="D144:G144"/>
    <mergeCell ref="D145:G145"/>
    <mergeCell ref="D146:G146"/>
    <mergeCell ref="D147:G147"/>
    <mergeCell ref="D148:G148"/>
    <mergeCell ref="D149:G149"/>
    <mergeCell ref="D138:G138"/>
    <mergeCell ref="D139:G139"/>
    <mergeCell ref="D140:G140"/>
    <mergeCell ref="D141:G141"/>
    <mergeCell ref="D142:G142"/>
    <mergeCell ref="D143:G143"/>
    <mergeCell ref="D132:G132"/>
    <mergeCell ref="D133:G133"/>
    <mergeCell ref="D134:G134"/>
    <mergeCell ref="D135:G135"/>
    <mergeCell ref="D136:G136"/>
    <mergeCell ref="D137:G137"/>
    <mergeCell ref="D126:G126"/>
    <mergeCell ref="D127:G127"/>
    <mergeCell ref="D128:G128"/>
    <mergeCell ref="D129:G129"/>
    <mergeCell ref="D130:G130"/>
    <mergeCell ref="D131:G131"/>
    <mergeCell ref="D120:G120"/>
    <mergeCell ref="D121:G121"/>
    <mergeCell ref="D122:G122"/>
    <mergeCell ref="D123:G123"/>
    <mergeCell ref="D124:G124"/>
    <mergeCell ref="D125:G125"/>
    <mergeCell ref="D114:G114"/>
    <mergeCell ref="D115:G115"/>
    <mergeCell ref="D116:G116"/>
    <mergeCell ref="D117:G117"/>
    <mergeCell ref="D118:G118"/>
    <mergeCell ref="D119:G119"/>
    <mergeCell ref="D108:G108"/>
    <mergeCell ref="D109:G109"/>
    <mergeCell ref="D110:G110"/>
    <mergeCell ref="D111:G111"/>
    <mergeCell ref="D112:G112"/>
    <mergeCell ref="D113:G113"/>
    <mergeCell ref="D102:G102"/>
    <mergeCell ref="D103:G103"/>
    <mergeCell ref="D104:G104"/>
    <mergeCell ref="D105:G105"/>
    <mergeCell ref="D106:G106"/>
    <mergeCell ref="D107:G107"/>
    <mergeCell ref="D96:G96"/>
    <mergeCell ref="D97:G97"/>
    <mergeCell ref="D98:G98"/>
    <mergeCell ref="D99:G99"/>
    <mergeCell ref="D100:G100"/>
    <mergeCell ref="D101:G101"/>
    <mergeCell ref="D90:G90"/>
    <mergeCell ref="D91:G91"/>
    <mergeCell ref="D92:G92"/>
    <mergeCell ref="D93:G93"/>
    <mergeCell ref="D94:G94"/>
    <mergeCell ref="D95:G95"/>
    <mergeCell ref="D84:G84"/>
    <mergeCell ref="D85:G85"/>
    <mergeCell ref="D86:G86"/>
    <mergeCell ref="D87:G87"/>
    <mergeCell ref="D88:G88"/>
    <mergeCell ref="D89:G89"/>
    <mergeCell ref="D78:G78"/>
    <mergeCell ref="D79:G79"/>
    <mergeCell ref="D80:G80"/>
    <mergeCell ref="D81:G81"/>
    <mergeCell ref="D82:G82"/>
    <mergeCell ref="D83:G83"/>
    <mergeCell ref="D72:G72"/>
    <mergeCell ref="D73:G73"/>
    <mergeCell ref="D74:G74"/>
    <mergeCell ref="D75:G75"/>
    <mergeCell ref="D76:G76"/>
    <mergeCell ref="D77:G77"/>
    <mergeCell ref="D66:G66"/>
    <mergeCell ref="D67:G67"/>
    <mergeCell ref="D68:G68"/>
    <mergeCell ref="D69:O69"/>
    <mergeCell ref="D70:G70"/>
    <mergeCell ref="D71:G71"/>
    <mergeCell ref="D60:G60"/>
    <mergeCell ref="D61:G61"/>
    <mergeCell ref="D62:G62"/>
    <mergeCell ref="D63:G63"/>
    <mergeCell ref="D64:G64"/>
    <mergeCell ref="D65:G65"/>
    <mergeCell ref="D54:G54"/>
    <mergeCell ref="D55:G55"/>
    <mergeCell ref="D56:G56"/>
    <mergeCell ref="D57:G57"/>
    <mergeCell ref="D58:O58"/>
    <mergeCell ref="D59:G59"/>
    <mergeCell ref="D48:G48"/>
    <mergeCell ref="D49:G49"/>
    <mergeCell ref="D50:G50"/>
    <mergeCell ref="D51:G51"/>
    <mergeCell ref="D52:G52"/>
    <mergeCell ref="D53:G53"/>
    <mergeCell ref="D42:G42"/>
    <mergeCell ref="D43:G43"/>
    <mergeCell ref="D44:O44"/>
    <mergeCell ref="D45:G45"/>
    <mergeCell ref="D46:G46"/>
    <mergeCell ref="D47:G47"/>
    <mergeCell ref="D36:G36"/>
    <mergeCell ref="D37:G37"/>
    <mergeCell ref="D38:O38"/>
    <mergeCell ref="D39:G39"/>
    <mergeCell ref="D40:G40"/>
    <mergeCell ref="D41:G41"/>
    <mergeCell ref="D30:G30"/>
    <mergeCell ref="D31:G31"/>
    <mergeCell ref="D32:G32"/>
    <mergeCell ref="D33:G33"/>
    <mergeCell ref="D34:G34"/>
    <mergeCell ref="D35:G35"/>
    <mergeCell ref="D24:G24"/>
    <mergeCell ref="D25:G25"/>
    <mergeCell ref="D26:G26"/>
    <mergeCell ref="D27:O27"/>
    <mergeCell ref="D28:G28"/>
    <mergeCell ref="D29:G29"/>
    <mergeCell ref="D18:G18"/>
    <mergeCell ref="D19:G19"/>
    <mergeCell ref="D20:G20"/>
    <mergeCell ref="D21:G21"/>
    <mergeCell ref="D22:G22"/>
    <mergeCell ref="D23:G23"/>
    <mergeCell ref="D12:G12"/>
    <mergeCell ref="D13:G13"/>
    <mergeCell ref="D14:G14"/>
    <mergeCell ref="D15:G15"/>
    <mergeCell ref="D16:G16"/>
    <mergeCell ref="D17:G17"/>
    <mergeCell ref="H8:I9"/>
    <mergeCell ref="K2:O3"/>
    <mergeCell ref="K4:O5"/>
    <mergeCell ref="K6:O7"/>
    <mergeCell ref="K8:O9"/>
    <mergeCell ref="D11:G11"/>
    <mergeCell ref="J4:J5"/>
    <mergeCell ref="J6:J7"/>
    <mergeCell ref="J8:J9"/>
    <mergeCell ref="C2:E3"/>
    <mergeCell ref="C4:E5"/>
    <mergeCell ref="C6:E7"/>
    <mergeCell ref="C8:E9"/>
    <mergeCell ref="H2:I3"/>
    <mergeCell ref="H4:I5"/>
    <mergeCell ref="H6:I7"/>
    <mergeCell ref="A1:O1"/>
    <mergeCell ref="A2:B3"/>
    <mergeCell ref="A4:B5"/>
    <mergeCell ref="A6:B7"/>
    <mergeCell ref="A8:B9"/>
    <mergeCell ref="F2:G3"/>
    <mergeCell ref="F4:G5"/>
    <mergeCell ref="F6:G7"/>
    <mergeCell ref="F8:G9"/>
    <mergeCell ref="J2:J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7" t="s">
        <v>1365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8" t="s">
        <v>86</v>
      </c>
      <c r="B2" s="59"/>
      <c r="C2" s="65" t="str">
        <f>'Stavební rozpočet'!C2</f>
        <v>Stavební úprava ul. Sokolovská</v>
      </c>
      <c r="D2" s="66"/>
      <c r="E2" s="63" t="s">
        <v>1043</v>
      </c>
      <c r="F2" s="63" t="str">
        <f>'Stavební rozpočet'!K2</f>
        <v> </v>
      </c>
      <c r="G2" s="59"/>
      <c r="H2" s="63" t="s">
        <v>806</v>
      </c>
      <c r="I2" s="68" t="s">
        <v>862</v>
      </c>
    </row>
    <row r="3" spans="1:9" ht="15" customHeight="1">
      <c r="A3" s="60"/>
      <c r="B3" s="61"/>
      <c r="C3" s="67"/>
      <c r="D3" s="67"/>
      <c r="E3" s="61"/>
      <c r="F3" s="61"/>
      <c r="G3" s="61"/>
      <c r="H3" s="61"/>
      <c r="I3" s="69"/>
    </row>
    <row r="4" spans="1:9" ht="15" customHeight="1">
      <c r="A4" s="62" t="s">
        <v>674</v>
      </c>
      <c r="B4" s="61"/>
      <c r="C4" s="64" t="str">
        <f>'Stavební rozpočet'!C4</f>
        <v>Stavební úprava ulice včetně inž. sítí</v>
      </c>
      <c r="D4" s="61"/>
      <c r="E4" s="64" t="s">
        <v>858</v>
      </c>
      <c r="F4" s="64" t="str">
        <f>'Stavební rozpočet'!K4</f>
        <v>Bau-projekt spol s.r.o. Jan Hyliš</v>
      </c>
      <c r="G4" s="61"/>
      <c r="H4" s="64" t="s">
        <v>806</v>
      </c>
      <c r="I4" s="69" t="s">
        <v>192</v>
      </c>
    </row>
    <row r="5" spans="1:9" ht="15" customHeight="1">
      <c r="A5" s="60"/>
      <c r="B5" s="61"/>
      <c r="C5" s="61"/>
      <c r="D5" s="61"/>
      <c r="E5" s="61"/>
      <c r="F5" s="61"/>
      <c r="G5" s="61"/>
      <c r="H5" s="61"/>
      <c r="I5" s="69"/>
    </row>
    <row r="6" spans="1:9" ht="15" customHeight="1">
      <c r="A6" s="62" t="s">
        <v>109</v>
      </c>
      <c r="B6" s="61"/>
      <c r="C6" s="64" t="str">
        <f>'Stavební rozpočet'!C6</f>
        <v>Milevsko</v>
      </c>
      <c r="D6" s="61"/>
      <c r="E6" s="64" t="s">
        <v>1077</v>
      </c>
      <c r="F6" s="64" t="str">
        <f>'Stavební rozpočet'!K6</f>
        <v> </v>
      </c>
      <c r="G6" s="61"/>
      <c r="H6" s="64" t="s">
        <v>806</v>
      </c>
      <c r="I6" s="69" t="s">
        <v>862</v>
      </c>
    </row>
    <row r="7" spans="1:9" ht="15" customHeight="1">
      <c r="A7" s="60"/>
      <c r="B7" s="61"/>
      <c r="C7" s="61"/>
      <c r="D7" s="61"/>
      <c r="E7" s="61"/>
      <c r="F7" s="61"/>
      <c r="G7" s="61"/>
      <c r="H7" s="61"/>
      <c r="I7" s="69"/>
    </row>
    <row r="8" spans="1:9" ht="15" customHeight="1">
      <c r="A8" s="62" t="s">
        <v>1095</v>
      </c>
      <c r="B8" s="61"/>
      <c r="C8" s="64" t="str">
        <f>'Stavební rozpočet'!H4</f>
        <v>01.08.2023</v>
      </c>
      <c r="D8" s="61"/>
      <c r="E8" s="64" t="s">
        <v>389</v>
      </c>
      <c r="F8" s="64" t="str">
        <f>'Stavební rozpočet'!H6</f>
        <v>31.10.2024</v>
      </c>
      <c r="G8" s="61"/>
      <c r="H8" s="61" t="s">
        <v>1246</v>
      </c>
      <c r="I8" s="79">
        <v>20</v>
      </c>
    </row>
    <row r="9" spans="1:9" ht="15" customHeight="1">
      <c r="A9" s="60"/>
      <c r="B9" s="61"/>
      <c r="C9" s="61"/>
      <c r="D9" s="61"/>
      <c r="E9" s="61"/>
      <c r="F9" s="61"/>
      <c r="G9" s="61"/>
      <c r="H9" s="61"/>
      <c r="I9" s="69"/>
    </row>
    <row r="10" spans="1:9" ht="15" customHeight="1">
      <c r="A10" s="62" t="s">
        <v>592</v>
      </c>
      <c r="B10" s="61"/>
      <c r="C10" s="64" t="str">
        <f>'Stavební rozpočet'!C8</f>
        <v> </v>
      </c>
      <c r="D10" s="61"/>
      <c r="E10" s="64" t="s">
        <v>826</v>
      </c>
      <c r="F10" s="64" t="str">
        <f>'Stavební rozpočet'!K8</f>
        <v> </v>
      </c>
      <c r="G10" s="61"/>
      <c r="H10" s="61" t="s">
        <v>1205</v>
      </c>
      <c r="I10" s="80" t="str">
        <f>'Stavební rozpočet'!H8</f>
        <v>01.06.2023</v>
      </c>
    </row>
    <row r="11" spans="1:9" ht="15" customHeight="1">
      <c r="A11" s="78"/>
      <c r="B11" s="70"/>
      <c r="C11" s="70"/>
      <c r="D11" s="70"/>
      <c r="E11" s="70"/>
      <c r="F11" s="70"/>
      <c r="G11" s="70"/>
      <c r="H11" s="70"/>
      <c r="I11" s="81"/>
    </row>
    <row r="12" spans="1:9" ht="22.5" customHeight="1">
      <c r="A12" s="82" t="s">
        <v>200</v>
      </c>
      <c r="B12" s="82"/>
      <c r="C12" s="82"/>
      <c r="D12" s="82"/>
      <c r="E12" s="82"/>
      <c r="F12" s="82"/>
      <c r="G12" s="82"/>
      <c r="H12" s="82"/>
      <c r="I12" s="82"/>
    </row>
    <row r="13" spans="1:9" ht="26.25" customHeight="1">
      <c r="A13" s="9" t="s">
        <v>1106</v>
      </c>
      <c r="B13" s="83" t="s">
        <v>152</v>
      </c>
      <c r="C13" s="84"/>
      <c r="D13" s="41" t="s">
        <v>212</v>
      </c>
      <c r="E13" s="83" t="s">
        <v>437</v>
      </c>
      <c r="F13" s="84"/>
      <c r="G13" s="41" t="s">
        <v>791</v>
      </c>
      <c r="H13" s="83" t="s">
        <v>215</v>
      </c>
      <c r="I13" s="84"/>
    </row>
    <row r="14" spans="1:9" ht="15" customHeight="1">
      <c r="A14" s="16" t="s">
        <v>448</v>
      </c>
      <c r="B14" s="31" t="s">
        <v>304</v>
      </c>
      <c r="C14" s="40">
        <f>SUMIF('Stavební rozpočet'!AI12:AI615,"SO 305",'Stavební rozpočet'!AB12:AB615)</f>
        <v>0</v>
      </c>
      <c r="D14" s="91" t="s">
        <v>894</v>
      </c>
      <c r="E14" s="92"/>
      <c r="F14" s="40">
        <v>0</v>
      </c>
      <c r="G14" s="91" t="s">
        <v>126</v>
      </c>
      <c r="H14" s="92"/>
      <c r="I14" s="38" t="s">
        <v>645</v>
      </c>
    </row>
    <row r="15" spans="1:9" ht="15" customHeight="1">
      <c r="A15" s="1" t="s">
        <v>862</v>
      </c>
      <c r="B15" s="31" t="s">
        <v>224</v>
      </c>
      <c r="C15" s="40">
        <f>SUMIF('Stavební rozpočet'!AI12:AI615,"SO 305",'Stavební rozpočet'!AC12:AC615)</f>
        <v>0</v>
      </c>
      <c r="D15" s="91" t="s">
        <v>122</v>
      </c>
      <c r="E15" s="92"/>
      <c r="F15" s="40">
        <v>0</v>
      </c>
      <c r="G15" s="91" t="s">
        <v>989</v>
      </c>
      <c r="H15" s="92"/>
      <c r="I15" s="38" t="s">
        <v>645</v>
      </c>
    </row>
    <row r="16" spans="1:9" ht="15" customHeight="1">
      <c r="A16" s="16" t="s">
        <v>116</v>
      </c>
      <c r="B16" s="31" t="s">
        <v>304</v>
      </c>
      <c r="C16" s="40">
        <f>SUMIF('Stavební rozpočet'!AI12:AI615,"SO 305",'Stavební rozpočet'!AD12:AD615)</f>
        <v>0</v>
      </c>
      <c r="D16" s="91" t="s">
        <v>923</v>
      </c>
      <c r="E16" s="92"/>
      <c r="F16" s="40">
        <v>0</v>
      </c>
      <c r="G16" s="91" t="s">
        <v>1190</v>
      </c>
      <c r="H16" s="92"/>
      <c r="I16" s="38" t="s">
        <v>645</v>
      </c>
    </row>
    <row r="17" spans="1:9" ht="15" customHeight="1">
      <c r="A17" s="1" t="s">
        <v>862</v>
      </c>
      <c r="B17" s="31" t="s">
        <v>224</v>
      </c>
      <c r="C17" s="40">
        <f>SUMIF('Stavební rozpočet'!AI12:AI615,"SO 305",'Stavební rozpočet'!AE12:AE615)</f>
        <v>0</v>
      </c>
      <c r="D17" s="91" t="s">
        <v>862</v>
      </c>
      <c r="E17" s="92"/>
      <c r="F17" s="38" t="s">
        <v>862</v>
      </c>
      <c r="G17" s="91" t="s">
        <v>651</v>
      </c>
      <c r="H17" s="92"/>
      <c r="I17" s="38" t="s">
        <v>645</v>
      </c>
    </row>
    <row r="18" spans="1:9" ht="15" customHeight="1">
      <c r="A18" s="16" t="s">
        <v>371</v>
      </c>
      <c r="B18" s="31" t="s">
        <v>304</v>
      </c>
      <c r="C18" s="40">
        <f>SUMIF('Stavební rozpočet'!AI12:AI615,"SO 305",'Stavební rozpočet'!AF12:AF615)</f>
        <v>0</v>
      </c>
      <c r="D18" s="91" t="s">
        <v>862</v>
      </c>
      <c r="E18" s="92"/>
      <c r="F18" s="38" t="s">
        <v>862</v>
      </c>
      <c r="G18" s="91" t="s">
        <v>808</v>
      </c>
      <c r="H18" s="92"/>
      <c r="I18" s="38" t="s">
        <v>645</v>
      </c>
    </row>
    <row r="19" spans="1:9" ht="15" customHeight="1">
      <c r="A19" s="1" t="s">
        <v>862</v>
      </c>
      <c r="B19" s="31" t="s">
        <v>224</v>
      </c>
      <c r="C19" s="40">
        <f>SUMIF('Stavební rozpočet'!AI12:AI615,"SO 305",'Stavební rozpočet'!AG12:AG615)</f>
        <v>0</v>
      </c>
      <c r="D19" s="91" t="s">
        <v>862</v>
      </c>
      <c r="E19" s="92"/>
      <c r="F19" s="38" t="s">
        <v>862</v>
      </c>
      <c r="G19" s="91" t="s">
        <v>1224</v>
      </c>
      <c r="H19" s="92"/>
      <c r="I19" s="38" t="s">
        <v>645</v>
      </c>
    </row>
    <row r="20" spans="1:9" ht="15" customHeight="1">
      <c r="A20" s="85" t="s">
        <v>88</v>
      </c>
      <c r="B20" s="86"/>
      <c r="C20" s="40">
        <f>SUMIF('Stavební rozpočet'!AI12:AI615,"SO 305",'Stavební rozpočet'!AH12:AH615)</f>
        <v>0</v>
      </c>
      <c r="D20" s="91" t="s">
        <v>862</v>
      </c>
      <c r="E20" s="92"/>
      <c r="F20" s="38" t="s">
        <v>862</v>
      </c>
      <c r="G20" s="91" t="s">
        <v>862</v>
      </c>
      <c r="H20" s="92"/>
      <c r="I20" s="38" t="s">
        <v>862</v>
      </c>
    </row>
    <row r="21" spans="1:9" ht="15" customHeight="1">
      <c r="A21" s="87" t="s">
        <v>1223</v>
      </c>
      <c r="B21" s="88"/>
      <c r="C21" s="40">
        <f>SUMIF('Stavební rozpočet'!AI12:AI615,"SO 305",'Stavební rozpočet'!Z12:Z615)</f>
        <v>0</v>
      </c>
      <c r="D21" s="93" t="s">
        <v>862</v>
      </c>
      <c r="E21" s="94"/>
      <c r="F21" s="42" t="s">
        <v>862</v>
      </c>
      <c r="G21" s="93" t="s">
        <v>862</v>
      </c>
      <c r="H21" s="94"/>
      <c r="I21" s="42" t="s">
        <v>862</v>
      </c>
    </row>
    <row r="22" spans="1:9" ht="16.5" customHeight="1">
      <c r="A22" s="89" t="s">
        <v>231</v>
      </c>
      <c r="B22" s="90"/>
      <c r="C22" s="40">
        <f>SUM(C14:C21)</f>
        <v>0</v>
      </c>
      <c r="D22" s="95" t="s">
        <v>626</v>
      </c>
      <c r="E22" s="90"/>
      <c r="F22" s="17">
        <f>SUM(F14:F21)</f>
        <v>0</v>
      </c>
      <c r="G22" s="95" t="s">
        <v>1247</v>
      </c>
      <c r="H22" s="90"/>
      <c r="I22" s="17">
        <f>SUM(I14:I21)</f>
        <v>0</v>
      </c>
    </row>
    <row r="23" spans="7:8" ht="15" customHeight="1">
      <c r="G23" s="85" t="s">
        <v>859</v>
      </c>
      <c r="H23" s="86"/>
    </row>
    <row r="25" spans="1:3" ht="15" customHeight="1">
      <c r="A25" s="97" t="s">
        <v>486</v>
      </c>
      <c r="B25" s="98"/>
      <c r="C25" s="55">
        <f>('Stavební rozpočet'!AS436+'Stavební rozpočet'!AS438+'Stavební rozpočet'!AS440+'Stavební rozpočet'!AS443+'Stavební rozpočet'!AS446+'Stavební rozpočet'!AS449+'Stavební rozpočet'!AS451+'Stavební rozpočet'!AS453+'Stavební rozpočet'!AS459)</f>
        <v>0</v>
      </c>
    </row>
    <row r="26" spans="1:9" ht="15" customHeight="1">
      <c r="A26" s="99" t="s">
        <v>30</v>
      </c>
      <c r="B26" s="100"/>
      <c r="C26" s="34">
        <f>('Stavební rozpočet'!AT436+'Stavební rozpočet'!AT438+'Stavební rozpočet'!AT440+'Stavební rozpočet'!AT443+'Stavební rozpočet'!AT446+'Stavební rozpočet'!AT449+'Stavební rozpočet'!AT451+'Stavební rozpočet'!AT453+'Stavební rozpočet'!AT459)</f>
        <v>0</v>
      </c>
      <c r="D26" s="98" t="s">
        <v>262</v>
      </c>
      <c r="E26" s="98"/>
      <c r="F26" s="55">
        <f>ROUND(C26*(15/100),2)</f>
        <v>0</v>
      </c>
      <c r="G26" s="98" t="s">
        <v>172</v>
      </c>
      <c r="H26" s="98"/>
      <c r="I26" s="55">
        <f>SUM(C25:C27)</f>
        <v>0</v>
      </c>
    </row>
    <row r="27" spans="1:9" ht="15" customHeight="1">
      <c r="A27" s="99" t="s">
        <v>58</v>
      </c>
      <c r="B27" s="100"/>
      <c r="C27" s="34">
        <f>('Stavební rozpočet'!AU436+'Stavební rozpočet'!AU438+'Stavební rozpočet'!AU440+'Stavební rozpočet'!AU443+'Stavební rozpočet'!AU446+'Stavební rozpočet'!AU449+'Stavební rozpočet'!AU451+'Stavební rozpočet'!AU453+'Stavební rozpočet'!AU459)</f>
        <v>0</v>
      </c>
      <c r="D27" s="100" t="s">
        <v>930</v>
      </c>
      <c r="E27" s="100"/>
      <c r="F27" s="34">
        <f>ROUND(C27*(21/100),2)</f>
        <v>0</v>
      </c>
      <c r="G27" s="100" t="s">
        <v>482</v>
      </c>
      <c r="H27" s="100"/>
      <c r="I27" s="34">
        <f>SUM(F26:F27)+I26</f>
        <v>0</v>
      </c>
    </row>
    <row r="29" spans="1:9" ht="15" customHeight="1">
      <c r="A29" s="101" t="s">
        <v>21</v>
      </c>
      <c r="B29" s="102"/>
      <c r="C29" s="103"/>
      <c r="D29" s="102" t="s">
        <v>1176</v>
      </c>
      <c r="E29" s="102"/>
      <c r="F29" s="103"/>
      <c r="G29" s="102" t="s">
        <v>846</v>
      </c>
      <c r="H29" s="102"/>
      <c r="I29" s="103"/>
    </row>
    <row r="30" spans="1:9" ht="15" customHeight="1">
      <c r="A30" s="104" t="s">
        <v>862</v>
      </c>
      <c r="B30" s="93"/>
      <c r="C30" s="105"/>
      <c r="D30" s="93" t="s">
        <v>862</v>
      </c>
      <c r="E30" s="93"/>
      <c r="F30" s="105"/>
      <c r="G30" s="93" t="s">
        <v>862</v>
      </c>
      <c r="H30" s="93"/>
      <c r="I30" s="105"/>
    </row>
    <row r="31" spans="1:9" ht="15" customHeight="1">
      <c r="A31" s="104" t="s">
        <v>862</v>
      </c>
      <c r="B31" s="93"/>
      <c r="C31" s="105"/>
      <c r="D31" s="93" t="s">
        <v>862</v>
      </c>
      <c r="E31" s="93"/>
      <c r="F31" s="105"/>
      <c r="G31" s="93" t="s">
        <v>862</v>
      </c>
      <c r="H31" s="93"/>
      <c r="I31" s="105"/>
    </row>
    <row r="32" spans="1:9" ht="15" customHeight="1">
      <c r="A32" s="104" t="s">
        <v>862</v>
      </c>
      <c r="B32" s="93"/>
      <c r="C32" s="105"/>
      <c r="D32" s="93" t="s">
        <v>862</v>
      </c>
      <c r="E32" s="93"/>
      <c r="F32" s="105"/>
      <c r="G32" s="93" t="s">
        <v>862</v>
      </c>
      <c r="H32" s="93"/>
      <c r="I32" s="105"/>
    </row>
    <row r="33" spans="1:9" ht="15" customHeight="1">
      <c r="A33" s="106" t="s">
        <v>227</v>
      </c>
      <c r="B33" s="107"/>
      <c r="C33" s="108"/>
      <c r="D33" s="107" t="s">
        <v>227</v>
      </c>
      <c r="E33" s="107"/>
      <c r="F33" s="108"/>
      <c r="G33" s="107" t="s">
        <v>227</v>
      </c>
      <c r="H33" s="107"/>
      <c r="I33" s="108"/>
    </row>
    <row r="34" ht="15" customHeight="1">
      <c r="A34" s="4" t="s">
        <v>106</v>
      </c>
    </row>
    <row r="35" spans="1:9" ht="12.75" customHeight="1">
      <c r="A35" s="64" t="s">
        <v>862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  <mergeCell ref="A33:C33"/>
    <mergeCell ref="D29:F29"/>
    <mergeCell ref="D30:F30"/>
    <mergeCell ref="D31:F31"/>
    <mergeCell ref="D32:F32"/>
    <mergeCell ref="D33:F33"/>
    <mergeCell ref="A26:B26"/>
    <mergeCell ref="A27:B27"/>
    <mergeCell ref="D26:E26"/>
    <mergeCell ref="D27:E27"/>
    <mergeCell ref="G26:H26"/>
    <mergeCell ref="G27:H27"/>
    <mergeCell ref="G19:H19"/>
    <mergeCell ref="G20:H20"/>
    <mergeCell ref="G21:H21"/>
    <mergeCell ref="G22:H22"/>
    <mergeCell ref="G23:H23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7" t="s">
        <v>526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8" t="s">
        <v>86</v>
      </c>
      <c r="B2" s="59"/>
      <c r="C2" s="65" t="str">
        <f>'Stavební rozpočet'!C2</f>
        <v>Stavební úprava ul. Sokolovská</v>
      </c>
      <c r="D2" s="66"/>
      <c r="E2" s="63" t="s">
        <v>1043</v>
      </c>
      <c r="F2" s="63" t="str">
        <f>'Stavební rozpočet'!K2</f>
        <v> </v>
      </c>
      <c r="G2" s="59"/>
      <c r="H2" s="63" t="s">
        <v>806</v>
      </c>
      <c r="I2" s="68" t="s">
        <v>862</v>
      </c>
    </row>
    <row r="3" spans="1:9" ht="15" customHeight="1">
      <c r="A3" s="60"/>
      <c r="B3" s="61"/>
      <c r="C3" s="67"/>
      <c r="D3" s="67"/>
      <c r="E3" s="61"/>
      <c r="F3" s="61"/>
      <c r="G3" s="61"/>
      <c r="H3" s="61"/>
      <c r="I3" s="69"/>
    </row>
    <row r="4" spans="1:9" ht="15" customHeight="1">
      <c r="A4" s="62" t="s">
        <v>674</v>
      </c>
      <c r="B4" s="61"/>
      <c r="C4" s="64" t="str">
        <f>'Stavební rozpočet'!C4</f>
        <v>Stavební úprava ulice včetně inž. sítí</v>
      </c>
      <c r="D4" s="61"/>
      <c r="E4" s="64" t="s">
        <v>858</v>
      </c>
      <c r="F4" s="64" t="str">
        <f>'Stavební rozpočet'!K4</f>
        <v>Bau-projekt spol s.r.o. Jan Hyliš</v>
      </c>
      <c r="G4" s="61"/>
      <c r="H4" s="64" t="s">
        <v>806</v>
      </c>
      <c r="I4" s="69" t="s">
        <v>192</v>
      </c>
    </row>
    <row r="5" spans="1:9" ht="15" customHeight="1">
      <c r="A5" s="60"/>
      <c r="B5" s="61"/>
      <c r="C5" s="61"/>
      <c r="D5" s="61"/>
      <c r="E5" s="61"/>
      <c r="F5" s="61"/>
      <c r="G5" s="61"/>
      <c r="H5" s="61"/>
      <c r="I5" s="69"/>
    </row>
    <row r="6" spans="1:9" ht="15" customHeight="1">
      <c r="A6" s="62" t="s">
        <v>109</v>
      </c>
      <c r="B6" s="61"/>
      <c r="C6" s="64" t="str">
        <f>'Stavební rozpočet'!C6</f>
        <v>Milevsko</v>
      </c>
      <c r="D6" s="61"/>
      <c r="E6" s="64" t="s">
        <v>1077</v>
      </c>
      <c r="F6" s="64" t="str">
        <f>'Stavební rozpočet'!K6</f>
        <v> </v>
      </c>
      <c r="G6" s="61"/>
      <c r="H6" s="64" t="s">
        <v>806</v>
      </c>
      <c r="I6" s="69" t="s">
        <v>862</v>
      </c>
    </row>
    <row r="7" spans="1:9" ht="15" customHeight="1">
      <c r="A7" s="60"/>
      <c r="B7" s="61"/>
      <c r="C7" s="61"/>
      <c r="D7" s="61"/>
      <c r="E7" s="61"/>
      <c r="F7" s="61"/>
      <c r="G7" s="61"/>
      <c r="H7" s="61"/>
      <c r="I7" s="69"/>
    </row>
    <row r="8" spans="1:9" ht="15" customHeight="1">
      <c r="A8" s="62" t="s">
        <v>1095</v>
      </c>
      <c r="B8" s="61"/>
      <c r="C8" s="64" t="str">
        <f>'Stavební rozpočet'!H4</f>
        <v>01.08.2023</v>
      </c>
      <c r="D8" s="61"/>
      <c r="E8" s="64" t="s">
        <v>389</v>
      </c>
      <c r="F8" s="64" t="str">
        <f>'Stavební rozpočet'!H6</f>
        <v>31.10.2024</v>
      </c>
      <c r="G8" s="61"/>
      <c r="H8" s="61" t="s">
        <v>1246</v>
      </c>
      <c r="I8" s="79">
        <v>37</v>
      </c>
    </row>
    <row r="9" spans="1:9" ht="15" customHeight="1">
      <c r="A9" s="60"/>
      <c r="B9" s="61"/>
      <c r="C9" s="61"/>
      <c r="D9" s="61"/>
      <c r="E9" s="61"/>
      <c r="F9" s="61"/>
      <c r="G9" s="61"/>
      <c r="H9" s="61"/>
      <c r="I9" s="69"/>
    </row>
    <row r="10" spans="1:9" ht="15" customHeight="1">
      <c r="A10" s="62" t="s">
        <v>592</v>
      </c>
      <c r="B10" s="61"/>
      <c r="C10" s="64" t="str">
        <f>'Stavební rozpočet'!C8</f>
        <v> </v>
      </c>
      <c r="D10" s="61"/>
      <c r="E10" s="64" t="s">
        <v>826</v>
      </c>
      <c r="F10" s="64" t="str">
        <f>'Stavební rozpočet'!K8</f>
        <v> </v>
      </c>
      <c r="G10" s="61"/>
      <c r="H10" s="61" t="s">
        <v>1205</v>
      </c>
      <c r="I10" s="80" t="str">
        <f>'Stavební rozpočet'!H8</f>
        <v>01.06.2023</v>
      </c>
    </row>
    <row r="11" spans="1:9" ht="15" customHeight="1">
      <c r="A11" s="78"/>
      <c r="B11" s="70"/>
      <c r="C11" s="70"/>
      <c r="D11" s="70"/>
      <c r="E11" s="70"/>
      <c r="F11" s="70"/>
      <c r="G11" s="70"/>
      <c r="H11" s="70"/>
      <c r="I11" s="81"/>
    </row>
    <row r="12" spans="1:9" ht="22.5" customHeight="1">
      <c r="A12" s="82" t="s">
        <v>200</v>
      </c>
      <c r="B12" s="82"/>
      <c r="C12" s="82"/>
      <c r="D12" s="82"/>
      <c r="E12" s="82"/>
      <c r="F12" s="82"/>
      <c r="G12" s="82"/>
      <c r="H12" s="82"/>
      <c r="I12" s="82"/>
    </row>
    <row r="13" spans="1:9" ht="26.25" customHeight="1">
      <c r="A13" s="9" t="s">
        <v>1106</v>
      </c>
      <c r="B13" s="83" t="s">
        <v>152</v>
      </c>
      <c r="C13" s="84"/>
      <c r="D13" s="41" t="s">
        <v>212</v>
      </c>
      <c r="E13" s="83" t="s">
        <v>437</v>
      </c>
      <c r="F13" s="84"/>
      <c r="G13" s="41" t="s">
        <v>791</v>
      </c>
      <c r="H13" s="83" t="s">
        <v>215</v>
      </c>
      <c r="I13" s="84"/>
    </row>
    <row r="14" spans="1:9" ht="15" customHeight="1">
      <c r="A14" s="16" t="s">
        <v>448</v>
      </c>
      <c r="B14" s="31" t="s">
        <v>304</v>
      </c>
      <c r="C14" s="40">
        <f>SUMIF('Stavební rozpočet'!AI12:AI615,"SO 800",'Stavební rozpočet'!AB12:AB615)</f>
        <v>0</v>
      </c>
      <c r="D14" s="91" t="s">
        <v>894</v>
      </c>
      <c r="E14" s="92"/>
      <c r="F14" s="40">
        <v>0</v>
      </c>
      <c r="G14" s="91" t="s">
        <v>126</v>
      </c>
      <c r="H14" s="92"/>
      <c r="I14" s="38" t="s">
        <v>645</v>
      </c>
    </row>
    <row r="15" spans="1:9" ht="15" customHeight="1">
      <c r="A15" s="1" t="s">
        <v>862</v>
      </c>
      <c r="B15" s="31" t="s">
        <v>224</v>
      </c>
      <c r="C15" s="40">
        <f>SUMIF('Stavební rozpočet'!AI12:AI615,"SO 800",'Stavební rozpočet'!AC12:AC615)</f>
        <v>0</v>
      </c>
      <c r="D15" s="91" t="s">
        <v>122</v>
      </c>
      <c r="E15" s="92"/>
      <c r="F15" s="40">
        <v>0</v>
      </c>
      <c r="G15" s="91" t="s">
        <v>989</v>
      </c>
      <c r="H15" s="92"/>
      <c r="I15" s="38" t="s">
        <v>645</v>
      </c>
    </row>
    <row r="16" spans="1:9" ht="15" customHeight="1">
      <c r="A16" s="16" t="s">
        <v>116</v>
      </c>
      <c r="B16" s="31" t="s">
        <v>304</v>
      </c>
      <c r="C16" s="40">
        <f>SUMIF('Stavební rozpočet'!AI12:AI615,"SO 800",'Stavební rozpočet'!AD12:AD615)</f>
        <v>0</v>
      </c>
      <c r="D16" s="91" t="s">
        <v>923</v>
      </c>
      <c r="E16" s="92"/>
      <c r="F16" s="40">
        <v>0</v>
      </c>
      <c r="G16" s="91" t="s">
        <v>1190</v>
      </c>
      <c r="H16" s="92"/>
      <c r="I16" s="38" t="s">
        <v>645</v>
      </c>
    </row>
    <row r="17" spans="1:9" ht="15" customHeight="1">
      <c r="A17" s="1" t="s">
        <v>862</v>
      </c>
      <c r="B17" s="31" t="s">
        <v>224</v>
      </c>
      <c r="C17" s="40">
        <f>SUMIF('Stavební rozpočet'!AI12:AI615,"SO 800",'Stavební rozpočet'!AE12:AE615)</f>
        <v>0</v>
      </c>
      <c r="D17" s="91" t="s">
        <v>862</v>
      </c>
      <c r="E17" s="92"/>
      <c r="F17" s="38" t="s">
        <v>862</v>
      </c>
      <c r="G17" s="91" t="s">
        <v>651</v>
      </c>
      <c r="H17" s="92"/>
      <c r="I17" s="38" t="s">
        <v>645</v>
      </c>
    </row>
    <row r="18" spans="1:9" ht="15" customHeight="1">
      <c r="A18" s="16" t="s">
        <v>371</v>
      </c>
      <c r="B18" s="31" t="s">
        <v>304</v>
      </c>
      <c r="C18" s="40">
        <f>SUMIF('Stavební rozpočet'!AI12:AI615,"SO 800",'Stavební rozpočet'!AF12:AF615)</f>
        <v>0</v>
      </c>
      <c r="D18" s="91" t="s">
        <v>862</v>
      </c>
      <c r="E18" s="92"/>
      <c r="F18" s="38" t="s">
        <v>862</v>
      </c>
      <c r="G18" s="91" t="s">
        <v>808</v>
      </c>
      <c r="H18" s="92"/>
      <c r="I18" s="38" t="s">
        <v>645</v>
      </c>
    </row>
    <row r="19" spans="1:9" ht="15" customHeight="1">
      <c r="A19" s="1" t="s">
        <v>862</v>
      </c>
      <c r="B19" s="31" t="s">
        <v>224</v>
      </c>
      <c r="C19" s="40">
        <f>SUMIF('Stavební rozpočet'!AI12:AI615,"SO 800",'Stavební rozpočet'!AG12:AG615)</f>
        <v>0</v>
      </c>
      <c r="D19" s="91" t="s">
        <v>862</v>
      </c>
      <c r="E19" s="92"/>
      <c r="F19" s="38" t="s">
        <v>862</v>
      </c>
      <c r="G19" s="91" t="s">
        <v>1224</v>
      </c>
      <c r="H19" s="92"/>
      <c r="I19" s="38" t="s">
        <v>645</v>
      </c>
    </row>
    <row r="20" spans="1:9" ht="15" customHeight="1">
      <c r="A20" s="85" t="s">
        <v>88</v>
      </c>
      <c r="B20" s="86"/>
      <c r="C20" s="40">
        <f>SUMIF('Stavební rozpočet'!AI12:AI615,"SO 800",'Stavební rozpočet'!AH12:AH615)</f>
        <v>0</v>
      </c>
      <c r="D20" s="91" t="s">
        <v>862</v>
      </c>
      <c r="E20" s="92"/>
      <c r="F20" s="38" t="s">
        <v>862</v>
      </c>
      <c r="G20" s="91" t="s">
        <v>862</v>
      </c>
      <c r="H20" s="92"/>
      <c r="I20" s="38" t="s">
        <v>862</v>
      </c>
    </row>
    <row r="21" spans="1:9" ht="15" customHeight="1">
      <c r="A21" s="87" t="s">
        <v>1223</v>
      </c>
      <c r="B21" s="88"/>
      <c r="C21" s="40">
        <f>SUMIF('Stavební rozpočet'!AI12:AI615,"SO 800",'Stavební rozpočet'!Z12:Z615)</f>
        <v>0</v>
      </c>
      <c r="D21" s="93" t="s">
        <v>862</v>
      </c>
      <c r="E21" s="94"/>
      <c r="F21" s="42" t="s">
        <v>862</v>
      </c>
      <c r="G21" s="93" t="s">
        <v>862</v>
      </c>
      <c r="H21" s="94"/>
      <c r="I21" s="42" t="s">
        <v>862</v>
      </c>
    </row>
    <row r="22" spans="1:9" ht="16.5" customHeight="1">
      <c r="A22" s="89" t="s">
        <v>231</v>
      </c>
      <c r="B22" s="90"/>
      <c r="C22" s="40">
        <f>SUM(C14:C21)</f>
        <v>0</v>
      </c>
      <c r="D22" s="95" t="s">
        <v>626</v>
      </c>
      <c r="E22" s="90"/>
      <c r="F22" s="17">
        <f>SUM(F14:F21)</f>
        <v>0</v>
      </c>
      <c r="G22" s="95" t="s">
        <v>1247</v>
      </c>
      <c r="H22" s="90"/>
      <c r="I22" s="17">
        <f>SUM(I14:I21)</f>
        <v>0</v>
      </c>
    </row>
    <row r="23" spans="7:8" ht="15" customHeight="1">
      <c r="G23" s="85" t="s">
        <v>859</v>
      </c>
      <c r="H23" s="86"/>
    </row>
    <row r="25" spans="1:3" ht="15" customHeight="1">
      <c r="A25" s="97" t="s">
        <v>486</v>
      </c>
      <c r="B25" s="98"/>
      <c r="C25" s="55">
        <f>('Stavební rozpočet'!AS466+'Stavební rozpočet'!AS468+'Stavební rozpočet'!AS470+'Stavební rozpočet'!AS506+'Stavební rozpočet'!AS509+'Stavební rozpočet'!AS511+'Stavební rozpočet'!AS514+'Stavební rozpočet'!AS516+'Stavební rozpočet'!AS518+'Stavební rozpočet'!AS519)</f>
        <v>0</v>
      </c>
    </row>
    <row r="26" spans="1:9" ht="15" customHeight="1">
      <c r="A26" s="99" t="s">
        <v>30</v>
      </c>
      <c r="B26" s="100"/>
      <c r="C26" s="34">
        <f>('Stavební rozpočet'!AT466+'Stavební rozpočet'!AT468+'Stavební rozpočet'!AT470+'Stavební rozpočet'!AT506+'Stavební rozpočet'!AT509+'Stavební rozpočet'!AT511+'Stavební rozpočet'!AT514+'Stavební rozpočet'!AT516+'Stavební rozpočet'!AT518+'Stavební rozpočet'!AT519)</f>
        <v>0</v>
      </c>
      <c r="D26" s="98" t="s">
        <v>262</v>
      </c>
      <c r="E26" s="98"/>
      <c r="F26" s="55">
        <f>ROUND(C26*(15/100),2)</f>
        <v>0</v>
      </c>
      <c r="G26" s="98" t="s">
        <v>172</v>
      </c>
      <c r="H26" s="98"/>
      <c r="I26" s="55">
        <f>SUM(C25:C27)</f>
        <v>0</v>
      </c>
    </row>
    <row r="27" spans="1:9" ht="15" customHeight="1">
      <c r="A27" s="99" t="s">
        <v>58</v>
      </c>
      <c r="B27" s="100"/>
      <c r="C27" s="34">
        <f>('Stavební rozpočet'!AU466+'Stavební rozpočet'!AU468+'Stavební rozpočet'!AU470+'Stavební rozpočet'!AU506+'Stavební rozpočet'!AU509+'Stavební rozpočet'!AU511+'Stavební rozpočet'!AU514+'Stavební rozpočet'!AU516+'Stavební rozpočet'!AU518+'Stavební rozpočet'!AU519)</f>
        <v>0</v>
      </c>
      <c r="D27" s="100" t="s">
        <v>930</v>
      </c>
      <c r="E27" s="100"/>
      <c r="F27" s="34">
        <f>ROUND(C27*(21/100),2)</f>
        <v>0</v>
      </c>
      <c r="G27" s="100" t="s">
        <v>482</v>
      </c>
      <c r="H27" s="100"/>
      <c r="I27" s="34">
        <f>SUM(F26:F27)+I26</f>
        <v>0</v>
      </c>
    </row>
    <row r="29" spans="1:9" ht="15" customHeight="1">
      <c r="A29" s="101" t="s">
        <v>21</v>
      </c>
      <c r="B29" s="102"/>
      <c r="C29" s="103"/>
      <c r="D29" s="102" t="s">
        <v>1176</v>
      </c>
      <c r="E29" s="102"/>
      <c r="F29" s="103"/>
      <c r="G29" s="102" t="s">
        <v>846</v>
      </c>
      <c r="H29" s="102"/>
      <c r="I29" s="103"/>
    </row>
    <row r="30" spans="1:9" ht="15" customHeight="1">
      <c r="A30" s="104" t="s">
        <v>862</v>
      </c>
      <c r="B30" s="93"/>
      <c r="C30" s="105"/>
      <c r="D30" s="93" t="s">
        <v>862</v>
      </c>
      <c r="E30" s="93"/>
      <c r="F30" s="105"/>
      <c r="G30" s="93" t="s">
        <v>862</v>
      </c>
      <c r="H30" s="93"/>
      <c r="I30" s="105"/>
    </row>
    <row r="31" spans="1:9" ht="15" customHeight="1">
      <c r="A31" s="104" t="s">
        <v>862</v>
      </c>
      <c r="B31" s="93"/>
      <c r="C31" s="105"/>
      <c r="D31" s="93" t="s">
        <v>862</v>
      </c>
      <c r="E31" s="93"/>
      <c r="F31" s="105"/>
      <c r="G31" s="93" t="s">
        <v>862</v>
      </c>
      <c r="H31" s="93"/>
      <c r="I31" s="105"/>
    </row>
    <row r="32" spans="1:9" ht="15" customHeight="1">
      <c r="A32" s="104" t="s">
        <v>862</v>
      </c>
      <c r="B32" s="93"/>
      <c r="C32" s="105"/>
      <c r="D32" s="93" t="s">
        <v>862</v>
      </c>
      <c r="E32" s="93"/>
      <c r="F32" s="105"/>
      <c r="G32" s="93" t="s">
        <v>862</v>
      </c>
      <c r="H32" s="93"/>
      <c r="I32" s="105"/>
    </row>
    <row r="33" spans="1:9" ht="15" customHeight="1">
      <c r="A33" s="106" t="s">
        <v>227</v>
      </c>
      <c r="B33" s="107"/>
      <c r="C33" s="108"/>
      <c r="D33" s="107" t="s">
        <v>227</v>
      </c>
      <c r="E33" s="107"/>
      <c r="F33" s="108"/>
      <c r="G33" s="107" t="s">
        <v>227</v>
      </c>
      <c r="H33" s="107"/>
      <c r="I33" s="108"/>
    </row>
    <row r="34" ht="15" customHeight="1">
      <c r="A34" s="4" t="s">
        <v>106</v>
      </c>
    </row>
    <row r="35" spans="1:9" ht="12.75" customHeight="1">
      <c r="A35" s="64" t="s">
        <v>862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  <mergeCell ref="A33:C33"/>
    <mergeCell ref="D29:F29"/>
    <mergeCell ref="D30:F30"/>
    <mergeCell ref="D31:F31"/>
    <mergeCell ref="D32:F32"/>
    <mergeCell ref="D33:F33"/>
    <mergeCell ref="A26:B26"/>
    <mergeCell ref="A27:B27"/>
    <mergeCell ref="D26:E26"/>
    <mergeCell ref="D27:E27"/>
    <mergeCell ref="G26:H26"/>
    <mergeCell ref="G27:H27"/>
    <mergeCell ref="G19:H19"/>
    <mergeCell ref="G20:H20"/>
    <mergeCell ref="G21:H21"/>
    <mergeCell ref="G22:H22"/>
    <mergeCell ref="G23:H23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7" t="s">
        <v>1083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8" t="s">
        <v>86</v>
      </c>
      <c r="B2" s="59"/>
      <c r="C2" s="65" t="str">
        <f>'Stavební rozpočet'!C2</f>
        <v>Stavební úprava ul. Sokolovská</v>
      </c>
      <c r="D2" s="66"/>
      <c r="E2" s="63" t="s">
        <v>1043</v>
      </c>
      <c r="F2" s="63" t="str">
        <f>'Stavební rozpočet'!K2</f>
        <v> </v>
      </c>
      <c r="G2" s="59"/>
      <c r="H2" s="63" t="s">
        <v>806</v>
      </c>
      <c r="I2" s="68" t="s">
        <v>862</v>
      </c>
    </row>
    <row r="3" spans="1:9" ht="15" customHeight="1">
      <c r="A3" s="60"/>
      <c r="B3" s="61"/>
      <c r="C3" s="67"/>
      <c r="D3" s="67"/>
      <c r="E3" s="61"/>
      <c r="F3" s="61"/>
      <c r="G3" s="61"/>
      <c r="H3" s="61"/>
      <c r="I3" s="69"/>
    </row>
    <row r="4" spans="1:9" ht="15" customHeight="1">
      <c r="A4" s="62" t="s">
        <v>674</v>
      </c>
      <c r="B4" s="61"/>
      <c r="C4" s="64" t="str">
        <f>'Stavební rozpočet'!C4</f>
        <v>Stavební úprava ulice včetně inž. sítí</v>
      </c>
      <c r="D4" s="61"/>
      <c r="E4" s="64" t="s">
        <v>858</v>
      </c>
      <c r="F4" s="64" t="str">
        <f>'Stavební rozpočet'!K4</f>
        <v>Bau-projekt spol s.r.o. Jan Hyliš</v>
      </c>
      <c r="G4" s="61"/>
      <c r="H4" s="64" t="s">
        <v>806</v>
      </c>
      <c r="I4" s="69" t="s">
        <v>192</v>
      </c>
    </row>
    <row r="5" spans="1:9" ht="15" customHeight="1">
      <c r="A5" s="60"/>
      <c r="B5" s="61"/>
      <c r="C5" s="61"/>
      <c r="D5" s="61"/>
      <c r="E5" s="61"/>
      <c r="F5" s="61"/>
      <c r="G5" s="61"/>
      <c r="H5" s="61"/>
      <c r="I5" s="69"/>
    </row>
    <row r="6" spans="1:9" ht="15" customHeight="1">
      <c r="A6" s="62" t="s">
        <v>109</v>
      </c>
      <c r="B6" s="61"/>
      <c r="C6" s="64" t="str">
        <f>'Stavební rozpočet'!C6</f>
        <v>Milevsko</v>
      </c>
      <c r="D6" s="61"/>
      <c r="E6" s="64" t="s">
        <v>1077</v>
      </c>
      <c r="F6" s="64" t="str">
        <f>'Stavební rozpočet'!K6</f>
        <v> </v>
      </c>
      <c r="G6" s="61"/>
      <c r="H6" s="64" t="s">
        <v>806</v>
      </c>
      <c r="I6" s="69" t="s">
        <v>862</v>
      </c>
    </row>
    <row r="7" spans="1:9" ht="15" customHeight="1">
      <c r="A7" s="60"/>
      <c r="B7" s="61"/>
      <c r="C7" s="61"/>
      <c r="D7" s="61"/>
      <c r="E7" s="61"/>
      <c r="F7" s="61"/>
      <c r="G7" s="61"/>
      <c r="H7" s="61"/>
      <c r="I7" s="69"/>
    </row>
    <row r="8" spans="1:9" ht="15" customHeight="1">
      <c r="A8" s="62" t="s">
        <v>1095</v>
      </c>
      <c r="B8" s="61"/>
      <c r="C8" s="64" t="str">
        <f>'Stavební rozpočet'!H4</f>
        <v>01.08.2023</v>
      </c>
      <c r="D8" s="61"/>
      <c r="E8" s="64" t="s">
        <v>389</v>
      </c>
      <c r="F8" s="64" t="str">
        <f>'Stavební rozpočet'!H6</f>
        <v>31.10.2024</v>
      </c>
      <c r="G8" s="61"/>
      <c r="H8" s="61" t="s">
        <v>1246</v>
      </c>
      <c r="I8" s="79">
        <v>44</v>
      </c>
    </row>
    <row r="9" spans="1:9" ht="15" customHeight="1">
      <c r="A9" s="60"/>
      <c r="B9" s="61"/>
      <c r="C9" s="61"/>
      <c r="D9" s="61"/>
      <c r="E9" s="61"/>
      <c r="F9" s="61"/>
      <c r="G9" s="61"/>
      <c r="H9" s="61"/>
      <c r="I9" s="69"/>
    </row>
    <row r="10" spans="1:9" ht="15" customHeight="1">
      <c r="A10" s="62" t="s">
        <v>592</v>
      </c>
      <c r="B10" s="61"/>
      <c r="C10" s="64" t="str">
        <f>'Stavební rozpočet'!C8</f>
        <v> </v>
      </c>
      <c r="D10" s="61"/>
      <c r="E10" s="64" t="s">
        <v>826</v>
      </c>
      <c r="F10" s="64" t="str">
        <f>'Stavební rozpočet'!K8</f>
        <v> </v>
      </c>
      <c r="G10" s="61"/>
      <c r="H10" s="61" t="s">
        <v>1205</v>
      </c>
      <c r="I10" s="80" t="str">
        <f>'Stavební rozpočet'!H8</f>
        <v>01.06.2023</v>
      </c>
    </row>
    <row r="11" spans="1:9" ht="15" customHeight="1">
      <c r="A11" s="78"/>
      <c r="B11" s="70"/>
      <c r="C11" s="70"/>
      <c r="D11" s="70"/>
      <c r="E11" s="70"/>
      <c r="F11" s="70"/>
      <c r="G11" s="70"/>
      <c r="H11" s="70"/>
      <c r="I11" s="81"/>
    </row>
    <row r="12" spans="1:9" ht="22.5" customHeight="1">
      <c r="A12" s="82" t="s">
        <v>200</v>
      </c>
      <c r="B12" s="82"/>
      <c r="C12" s="82"/>
      <c r="D12" s="82"/>
      <c r="E12" s="82"/>
      <c r="F12" s="82"/>
      <c r="G12" s="82"/>
      <c r="H12" s="82"/>
      <c r="I12" s="82"/>
    </row>
    <row r="13" spans="1:9" ht="26.25" customHeight="1">
      <c r="A13" s="9" t="s">
        <v>1106</v>
      </c>
      <c r="B13" s="83" t="s">
        <v>152</v>
      </c>
      <c r="C13" s="84"/>
      <c r="D13" s="41" t="s">
        <v>212</v>
      </c>
      <c r="E13" s="83" t="s">
        <v>437</v>
      </c>
      <c r="F13" s="84"/>
      <c r="G13" s="41" t="s">
        <v>791</v>
      </c>
      <c r="H13" s="83" t="s">
        <v>215</v>
      </c>
      <c r="I13" s="84"/>
    </row>
    <row r="14" spans="1:9" ht="15" customHeight="1">
      <c r="A14" s="16" t="s">
        <v>448</v>
      </c>
      <c r="B14" s="31" t="s">
        <v>304</v>
      </c>
      <c r="C14" s="40">
        <f>SUMIF('Stavební rozpočet'!AI12:AI615,"SO100b",'Stavební rozpočet'!AB12:AB615)</f>
        <v>0</v>
      </c>
      <c r="D14" s="91" t="s">
        <v>894</v>
      </c>
      <c r="E14" s="92"/>
      <c r="F14" s="40">
        <v>0</v>
      </c>
      <c r="G14" s="91" t="s">
        <v>126</v>
      </c>
      <c r="H14" s="92"/>
      <c r="I14" s="38" t="s">
        <v>645</v>
      </c>
    </row>
    <row r="15" spans="1:9" ht="15" customHeight="1">
      <c r="A15" s="1" t="s">
        <v>862</v>
      </c>
      <c r="B15" s="31" t="s">
        <v>224</v>
      </c>
      <c r="C15" s="40">
        <f>SUMIF('Stavební rozpočet'!AI12:AI615,"SO100b",'Stavební rozpočet'!AC12:AC615)</f>
        <v>0</v>
      </c>
      <c r="D15" s="91" t="s">
        <v>122</v>
      </c>
      <c r="E15" s="92"/>
      <c r="F15" s="40">
        <v>0</v>
      </c>
      <c r="G15" s="91" t="s">
        <v>989</v>
      </c>
      <c r="H15" s="92"/>
      <c r="I15" s="38" t="s">
        <v>645</v>
      </c>
    </row>
    <row r="16" spans="1:9" ht="15" customHeight="1">
      <c r="A16" s="16" t="s">
        <v>116</v>
      </c>
      <c r="B16" s="31" t="s">
        <v>304</v>
      </c>
      <c r="C16" s="40">
        <f>SUMIF('Stavební rozpočet'!AI12:AI615,"SO100b",'Stavební rozpočet'!AD12:AD615)</f>
        <v>0</v>
      </c>
      <c r="D16" s="91" t="s">
        <v>923</v>
      </c>
      <c r="E16" s="92"/>
      <c r="F16" s="40">
        <v>0</v>
      </c>
      <c r="G16" s="91" t="s">
        <v>1190</v>
      </c>
      <c r="H16" s="92"/>
      <c r="I16" s="38" t="s">
        <v>645</v>
      </c>
    </row>
    <row r="17" spans="1:9" ht="15" customHeight="1">
      <c r="A17" s="1" t="s">
        <v>862</v>
      </c>
      <c r="B17" s="31" t="s">
        <v>224</v>
      </c>
      <c r="C17" s="40">
        <f>SUMIF('Stavební rozpočet'!AI12:AI615,"SO100b",'Stavební rozpočet'!AE12:AE615)</f>
        <v>0</v>
      </c>
      <c r="D17" s="91" t="s">
        <v>862</v>
      </c>
      <c r="E17" s="92"/>
      <c r="F17" s="38" t="s">
        <v>862</v>
      </c>
      <c r="G17" s="91" t="s">
        <v>651</v>
      </c>
      <c r="H17" s="92"/>
      <c r="I17" s="38" t="s">
        <v>645</v>
      </c>
    </row>
    <row r="18" spans="1:9" ht="15" customHeight="1">
      <c r="A18" s="16" t="s">
        <v>371</v>
      </c>
      <c r="B18" s="31" t="s">
        <v>304</v>
      </c>
      <c r="C18" s="40">
        <f>SUMIF('Stavební rozpočet'!AI12:AI615,"SO100b",'Stavební rozpočet'!AF12:AF615)</f>
        <v>0</v>
      </c>
      <c r="D18" s="91" t="s">
        <v>862</v>
      </c>
      <c r="E18" s="92"/>
      <c r="F18" s="38" t="s">
        <v>862</v>
      </c>
      <c r="G18" s="91" t="s">
        <v>808</v>
      </c>
      <c r="H18" s="92"/>
      <c r="I18" s="38" t="s">
        <v>645</v>
      </c>
    </row>
    <row r="19" spans="1:9" ht="15" customHeight="1">
      <c r="A19" s="1" t="s">
        <v>862</v>
      </c>
      <c r="B19" s="31" t="s">
        <v>224</v>
      </c>
      <c r="C19" s="40">
        <f>SUMIF('Stavební rozpočet'!AI12:AI615,"SO100b",'Stavební rozpočet'!AG12:AG615)</f>
        <v>0</v>
      </c>
      <c r="D19" s="91" t="s">
        <v>862</v>
      </c>
      <c r="E19" s="92"/>
      <c r="F19" s="38" t="s">
        <v>862</v>
      </c>
      <c r="G19" s="91" t="s">
        <v>1224</v>
      </c>
      <c r="H19" s="92"/>
      <c r="I19" s="38" t="s">
        <v>645</v>
      </c>
    </row>
    <row r="20" spans="1:9" ht="15" customHeight="1">
      <c r="A20" s="85" t="s">
        <v>88</v>
      </c>
      <c r="B20" s="86"/>
      <c r="C20" s="40">
        <f>SUMIF('Stavební rozpočet'!AI12:AI615,"SO100b",'Stavební rozpočet'!AH12:AH615)</f>
        <v>0</v>
      </c>
      <c r="D20" s="91" t="s">
        <v>862</v>
      </c>
      <c r="E20" s="92"/>
      <c r="F20" s="38" t="s">
        <v>862</v>
      </c>
      <c r="G20" s="91" t="s">
        <v>862</v>
      </c>
      <c r="H20" s="92"/>
      <c r="I20" s="38" t="s">
        <v>862</v>
      </c>
    </row>
    <row r="21" spans="1:9" ht="15" customHeight="1">
      <c r="A21" s="87" t="s">
        <v>1223</v>
      </c>
      <c r="B21" s="88"/>
      <c r="C21" s="40">
        <f>SUMIF('Stavební rozpočet'!AI12:AI615,"SO100b",'Stavební rozpočet'!Z12:Z615)</f>
        <v>0</v>
      </c>
      <c r="D21" s="93" t="s">
        <v>862</v>
      </c>
      <c r="E21" s="94"/>
      <c r="F21" s="42" t="s">
        <v>862</v>
      </c>
      <c r="G21" s="93" t="s">
        <v>862</v>
      </c>
      <c r="H21" s="94"/>
      <c r="I21" s="42" t="s">
        <v>862</v>
      </c>
    </row>
    <row r="22" spans="1:9" ht="16.5" customHeight="1">
      <c r="A22" s="89" t="s">
        <v>231</v>
      </c>
      <c r="B22" s="90"/>
      <c r="C22" s="40">
        <f>SUM(C14:C21)</f>
        <v>0</v>
      </c>
      <c r="D22" s="95" t="s">
        <v>626</v>
      </c>
      <c r="E22" s="90"/>
      <c r="F22" s="17">
        <f>SUM(F14:F21)</f>
        <v>0</v>
      </c>
      <c r="G22" s="95" t="s">
        <v>1247</v>
      </c>
      <c r="H22" s="90"/>
      <c r="I22" s="17">
        <f>SUM(I14:I21)</f>
        <v>0</v>
      </c>
    </row>
    <row r="23" spans="7:8" ht="15" customHeight="1">
      <c r="G23" s="85" t="s">
        <v>859</v>
      </c>
      <c r="H23" s="86"/>
    </row>
    <row r="25" spans="1:3" ht="15" customHeight="1">
      <c r="A25" s="97" t="s">
        <v>486</v>
      </c>
      <c r="B25" s="98"/>
      <c r="C25" s="55">
        <f>('Stavební rozpočet'!AS523+'Stavební rozpočet'!AS530+'Stavební rozpočet'!AS532+'Stavební rozpočet'!AS534+'Stavební rozpočet'!AS538+'Stavební rozpočet'!AS547+'Stavební rozpočet'!AS557+'Stavební rozpočet'!AS561+'Stavební rozpočet'!AS565+'Stavební rozpočet'!AS567+'Stavební rozpočet'!AS573+'Stavební rozpočet'!AS576+'Stavební rozpočet'!AS577+'Stavební rozpočet'!AS581+'Stavební rozpočet'!AS583+'Stavební rozpočet'!AS586+'Stavební rozpočet'!AS588)</f>
        <v>0</v>
      </c>
    </row>
    <row r="26" spans="1:9" ht="15" customHeight="1">
      <c r="A26" s="99" t="s">
        <v>30</v>
      </c>
      <c r="B26" s="100"/>
      <c r="C26" s="34">
        <f>('Stavební rozpočet'!AT523+'Stavební rozpočet'!AT530+'Stavební rozpočet'!AT532+'Stavební rozpočet'!AT534+'Stavební rozpočet'!AT538+'Stavební rozpočet'!AT547+'Stavební rozpočet'!AT557+'Stavební rozpočet'!AT561+'Stavební rozpočet'!AT565+'Stavební rozpočet'!AT567+'Stavební rozpočet'!AT573+'Stavební rozpočet'!AT576+'Stavební rozpočet'!AT577+'Stavební rozpočet'!AT581+'Stavební rozpočet'!AT583+'Stavební rozpočet'!AT586+'Stavební rozpočet'!AT588)</f>
        <v>0</v>
      </c>
      <c r="D26" s="98" t="s">
        <v>262</v>
      </c>
      <c r="E26" s="98"/>
      <c r="F26" s="55">
        <f>ROUND(C26*(15/100),2)</f>
        <v>0</v>
      </c>
      <c r="G26" s="98" t="s">
        <v>172</v>
      </c>
      <c r="H26" s="98"/>
      <c r="I26" s="55">
        <f>SUM(C25:C27)</f>
        <v>0</v>
      </c>
    </row>
    <row r="27" spans="1:9" ht="15" customHeight="1">
      <c r="A27" s="99" t="s">
        <v>58</v>
      </c>
      <c r="B27" s="100"/>
      <c r="C27" s="34">
        <f>('Stavební rozpočet'!AU523+'Stavební rozpočet'!AU530+'Stavební rozpočet'!AU532+'Stavební rozpočet'!AU534+'Stavební rozpočet'!AU538+'Stavební rozpočet'!AU547+'Stavební rozpočet'!AU557+'Stavební rozpočet'!AU561+'Stavební rozpočet'!AU565+'Stavební rozpočet'!AU567+'Stavební rozpočet'!AU573+'Stavební rozpočet'!AU576+'Stavební rozpočet'!AU577+'Stavební rozpočet'!AU581+'Stavební rozpočet'!AU583+'Stavební rozpočet'!AU586+'Stavební rozpočet'!AU588)</f>
        <v>0</v>
      </c>
      <c r="D27" s="100" t="s">
        <v>930</v>
      </c>
      <c r="E27" s="100"/>
      <c r="F27" s="34">
        <f>ROUND(C27*(21/100),2)</f>
        <v>0</v>
      </c>
      <c r="G27" s="100" t="s">
        <v>482</v>
      </c>
      <c r="H27" s="100"/>
      <c r="I27" s="34">
        <f>SUM(F26:F27)+I26</f>
        <v>0</v>
      </c>
    </row>
    <row r="29" spans="1:9" ht="15" customHeight="1">
      <c r="A29" s="101" t="s">
        <v>21</v>
      </c>
      <c r="B29" s="102"/>
      <c r="C29" s="103"/>
      <c r="D29" s="102" t="s">
        <v>1176</v>
      </c>
      <c r="E29" s="102"/>
      <c r="F29" s="103"/>
      <c r="G29" s="102" t="s">
        <v>846</v>
      </c>
      <c r="H29" s="102"/>
      <c r="I29" s="103"/>
    </row>
    <row r="30" spans="1:9" ht="15" customHeight="1">
      <c r="A30" s="104" t="s">
        <v>862</v>
      </c>
      <c r="B30" s="93"/>
      <c r="C30" s="105"/>
      <c r="D30" s="93" t="s">
        <v>862</v>
      </c>
      <c r="E30" s="93"/>
      <c r="F30" s="105"/>
      <c r="G30" s="93" t="s">
        <v>862</v>
      </c>
      <c r="H30" s="93"/>
      <c r="I30" s="105"/>
    </row>
    <row r="31" spans="1:9" ht="15" customHeight="1">
      <c r="A31" s="104" t="s">
        <v>862</v>
      </c>
      <c r="B31" s="93"/>
      <c r="C31" s="105"/>
      <c r="D31" s="93" t="s">
        <v>862</v>
      </c>
      <c r="E31" s="93"/>
      <c r="F31" s="105"/>
      <c r="G31" s="93" t="s">
        <v>862</v>
      </c>
      <c r="H31" s="93"/>
      <c r="I31" s="105"/>
    </row>
    <row r="32" spans="1:9" ht="15" customHeight="1">
      <c r="A32" s="104" t="s">
        <v>862</v>
      </c>
      <c r="B32" s="93"/>
      <c r="C32" s="105"/>
      <c r="D32" s="93" t="s">
        <v>862</v>
      </c>
      <c r="E32" s="93"/>
      <c r="F32" s="105"/>
      <c r="G32" s="93" t="s">
        <v>862</v>
      </c>
      <c r="H32" s="93"/>
      <c r="I32" s="105"/>
    </row>
    <row r="33" spans="1:9" ht="15" customHeight="1">
      <c r="A33" s="106" t="s">
        <v>227</v>
      </c>
      <c r="B33" s="107"/>
      <c r="C33" s="108"/>
      <c r="D33" s="107" t="s">
        <v>227</v>
      </c>
      <c r="E33" s="107"/>
      <c r="F33" s="108"/>
      <c r="G33" s="107" t="s">
        <v>227</v>
      </c>
      <c r="H33" s="107"/>
      <c r="I33" s="108"/>
    </row>
    <row r="34" ht="15" customHeight="1">
      <c r="A34" s="4" t="s">
        <v>106</v>
      </c>
    </row>
    <row r="35" spans="1:9" ht="12.75" customHeight="1">
      <c r="A35" s="64" t="s">
        <v>862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  <mergeCell ref="A33:C33"/>
    <mergeCell ref="D29:F29"/>
    <mergeCell ref="D30:F30"/>
    <mergeCell ref="D31:F31"/>
    <mergeCell ref="D32:F32"/>
    <mergeCell ref="D33:F33"/>
    <mergeCell ref="A26:B26"/>
    <mergeCell ref="A27:B27"/>
    <mergeCell ref="D26:E26"/>
    <mergeCell ref="D27:E27"/>
    <mergeCell ref="G26:H26"/>
    <mergeCell ref="G27:H27"/>
    <mergeCell ref="G19:H19"/>
    <mergeCell ref="G20:H20"/>
    <mergeCell ref="G21:H21"/>
    <mergeCell ref="G22:H22"/>
    <mergeCell ref="G23:H23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7" t="s">
        <v>240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8" t="s">
        <v>86</v>
      </c>
      <c r="B2" s="59"/>
      <c r="C2" s="65" t="str">
        <f>'Stavební rozpočet'!C2</f>
        <v>Stavební úprava ul. Sokolovská</v>
      </c>
      <c r="D2" s="66"/>
      <c r="E2" s="63" t="s">
        <v>1043</v>
      </c>
      <c r="F2" s="63" t="str">
        <f>'Stavební rozpočet'!K2</f>
        <v> </v>
      </c>
      <c r="G2" s="59"/>
      <c r="H2" s="63" t="s">
        <v>806</v>
      </c>
      <c r="I2" s="68" t="s">
        <v>862</v>
      </c>
    </row>
    <row r="3" spans="1:9" ht="15" customHeight="1">
      <c r="A3" s="60"/>
      <c r="B3" s="61"/>
      <c r="C3" s="67"/>
      <c r="D3" s="67"/>
      <c r="E3" s="61"/>
      <c r="F3" s="61"/>
      <c r="G3" s="61"/>
      <c r="H3" s="61"/>
      <c r="I3" s="69"/>
    </row>
    <row r="4" spans="1:9" ht="15" customHeight="1">
      <c r="A4" s="62" t="s">
        <v>674</v>
      </c>
      <c r="B4" s="61"/>
      <c r="C4" s="64" t="str">
        <f>'Stavební rozpočet'!C4</f>
        <v>Stavební úprava ulice včetně inž. sítí</v>
      </c>
      <c r="D4" s="61"/>
      <c r="E4" s="64" t="s">
        <v>858</v>
      </c>
      <c r="F4" s="64" t="str">
        <f>'Stavební rozpočet'!K4</f>
        <v>Bau-projekt spol s.r.o. Jan Hyliš</v>
      </c>
      <c r="G4" s="61"/>
      <c r="H4" s="64" t="s">
        <v>806</v>
      </c>
      <c r="I4" s="69" t="s">
        <v>192</v>
      </c>
    </row>
    <row r="5" spans="1:9" ht="15" customHeight="1">
      <c r="A5" s="60"/>
      <c r="B5" s="61"/>
      <c r="C5" s="61"/>
      <c r="D5" s="61"/>
      <c r="E5" s="61"/>
      <c r="F5" s="61"/>
      <c r="G5" s="61"/>
      <c r="H5" s="61"/>
      <c r="I5" s="69"/>
    </row>
    <row r="6" spans="1:9" ht="15" customHeight="1">
      <c r="A6" s="62" t="s">
        <v>109</v>
      </c>
      <c r="B6" s="61"/>
      <c r="C6" s="64" t="str">
        <f>'Stavební rozpočet'!C6</f>
        <v>Milevsko</v>
      </c>
      <c r="D6" s="61"/>
      <c r="E6" s="64" t="s">
        <v>1077</v>
      </c>
      <c r="F6" s="64" t="str">
        <f>'Stavební rozpočet'!K6</f>
        <v> </v>
      </c>
      <c r="G6" s="61"/>
      <c r="H6" s="64" t="s">
        <v>806</v>
      </c>
      <c r="I6" s="69" t="s">
        <v>862</v>
      </c>
    </row>
    <row r="7" spans="1:9" ht="15" customHeight="1">
      <c r="A7" s="60"/>
      <c r="B7" s="61"/>
      <c r="C7" s="61"/>
      <c r="D7" s="61"/>
      <c r="E7" s="61"/>
      <c r="F7" s="61"/>
      <c r="G7" s="61"/>
      <c r="H7" s="61"/>
      <c r="I7" s="69"/>
    </row>
    <row r="8" spans="1:9" ht="15" customHeight="1">
      <c r="A8" s="62" t="s">
        <v>1095</v>
      </c>
      <c r="B8" s="61"/>
      <c r="C8" s="64" t="str">
        <f>'Stavební rozpočet'!H4</f>
        <v>01.08.2023</v>
      </c>
      <c r="D8" s="61"/>
      <c r="E8" s="64" t="s">
        <v>389</v>
      </c>
      <c r="F8" s="64" t="str">
        <f>'Stavební rozpočet'!H6</f>
        <v>31.10.2024</v>
      </c>
      <c r="G8" s="61"/>
      <c r="H8" s="61" t="s">
        <v>1246</v>
      </c>
      <c r="I8" s="79">
        <v>19</v>
      </c>
    </row>
    <row r="9" spans="1:9" ht="15" customHeight="1">
      <c r="A9" s="60"/>
      <c r="B9" s="61"/>
      <c r="C9" s="61"/>
      <c r="D9" s="61"/>
      <c r="E9" s="61"/>
      <c r="F9" s="61"/>
      <c r="G9" s="61"/>
      <c r="H9" s="61"/>
      <c r="I9" s="69"/>
    </row>
    <row r="10" spans="1:9" ht="15" customHeight="1">
      <c r="A10" s="62" t="s">
        <v>592</v>
      </c>
      <c r="B10" s="61"/>
      <c r="C10" s="64" t="str">
        <f>'Stavební rozpočet'!C8</f>
        <v> </v>
      </c>
      <c r="D10" s="61"/>
      <c r="E10" s="64" t="s">
        <v>826</v>
      </c>
      <c r="F10" s="64" t="str">
        <f>'Stavební rozpočet'!K8</f>
        <v> </v>
      </c>
      <c r="G10" s="61"/>
      <c r="H10" s="61" t="s">
        <v>1205</v>
      </c>
      <c r="I10" s="80" t="str">
        <f>'Stavební rozpočet'!H8</f>
        <v>01.06.2023</v>
      </c>
    </row>
    <row r="11" spans="1:9" ht="15" customHeight="1">
      <c r="A11" s="78"/>
      <c r="B11" s="70"/>
      <c r="C11" s="70"/>
      <c r="D11" s="70"/>
      <c r="E11" s="70"/>
      <c r="F11" s="70"/>
      <c r="G11" s="70"/>
      <c r="H11" s="70"/>
      <c r="I11" s="81"/>
    </row>
    <row r="12" spans="1:9" ht="22.5" customHeight="1">
      <c r="A12" s="82" t="s">
        <v>200</v>
      </c>
      <c r="B12" s="82"/>
      <c r="C12" s="82"/>
      <c r="D12" s="82"/>
      <c r="E12" s="82"/>
      <c r="F12" s="82"/>
      <c r="G12" s="82"/>
      <c r="H12" s="82"/>
      <c r="I12" s="82"/>
    </row>
    <row r="13" spans="1:9" ht="26.25" customHeight="1">
      <c r="A13" s="9" t="s">
        <v>1106</v>
      </c>
      <c r="B13" s="83" t="s">
        <v>152</v>
      </c>
      <c r="C13" s="84"/>
      <c r="D13" s="41" t="s">
        <v>212</v>
      </c>
      <c r="E13" s="83" t="s">
        <v>437</v>
      </c>
      <c r="F13" s="84"/>
      <c r="G13" s="41" t="s">
        <v>791</v>
      </c>
      <c r="H13" s="83" t="s">
        <v>215</v>
      </c>
      <c r="I13" s="84"/>
    </row>
    <row r="14" spans="1:9" ht="15" customHeight="1">
      <c r="A14" s="16" t="s">
        <v>448</v>
      </c>
      <c r="B14" s="31" t="s">
        <v>304</v>
      </c>
      <c r="C14" s="40">
        <f>SUMIF('Stavební rozpočet'!AI12:AI615,"SO304.1",'Stavební rozpočet'!AB12:AB615)</f>
        <v>0</v>
      </c>
      <c r="D14" s="91" t="s">
        <v>894</v>
      </c>
      <c r="E14" s="92"/>
      <c r="F14" s="40">
        <v>0</v>
      </c>
      <c r="G14" s="91" t="s">
        <v>126</v>
      </c>
      <c r="H14" s="92"/>
      <c r="I14" s="38" t="s">
        <v>645</v>
      </c>
    </row>
    <row r="15" spans="1:9" ht="15" customHeight="1">
      <c r="A15" s="1" t="s">
        <v>862</v>
      </c>
      <c r="B15" s="31" t="s">
        <v>224</v>
      </c>
      <c r="C15" s="40">
        <f>SUMIF('Stavební rozpočet'!AI12:AI615,"SO304.1",'Stavební rozpočet'!AC12:AC615)</f>
        <v>0</v>
      </c>
      <c r="D15" s="91" t="s">
        <v>122</v>
      </c>
      <c r="E15" s="92"/>
      <c r="F15" s="40">
        <v>0</v>
      </c>
      <c r="G15" s="91" t="s">
        <v>989</v>
      </c>
      <c r="H15" s="92"/>
      <c r="I15" s="38" t="s">
        <v>645</v>
      </c>
    </row>
    <row r="16" spans="1:9" ht="15" customHeight="1">
      <c r="A16" s="16" t="s">
        <v>116</v>
      </c>
      <c r="B16" s="31" t="s">
        <v>304</v>
      </c>
      <c r="C16" s="40">
        <f>SUMIF('Stavební rozpočet'!AI12:AI615,"SO304.1",'Stavební rozpočet'!AD12:AD615)</f>
        <v>0</v>
      </c>
      <c r="D16" s="91" t="s">
        <v>923</v>
      </c>
      <c r="E16" s="92"/>
      <c r="F16" s="40">
        <v>0</v>
      </c>
      <c r="G16" s="91" t="s">
        <v>1190</v>
      </c>
      <c r="H16" s="92"/>
      <c r="I16" s="38" t="s">
        <v>645</v>
      </c>
    </row>
    <row r="17" spans="1:9" ht="15" customHeight="1">
      <c r="A17" s="1" t="s">
        <v>862</v>
      </c>
      <c r="B17" s="31" t="s">
        <v>224</v>
      </c>
      <c r="C17" s="40">
        <f>SUMIF('Stavební rozpočet'!AI12:AI615,"SO304.1",'Stavební rozpočet'!AE12:AE615)</f>
        <v>0</v>
      </c>
      <c r="D17" s="91" t="s">
        <v>862</v>
      </c>
      <c r="E17" s="92"/>
      <c r="F17" s="38" t="s">
        <v>862</v>
      </c>
      <c r="G17" s="91" t="s">
        <v>651</v>
      </c>
      <c r="H17" s="92"/>
      <c r="I17" s="38" t="s">
        <v>645</v>
      </c>
    </row>
    <row r="18" spans="1:9" ht="15" customHeight="1">
      <c r="A18" s="16" t="s">
        <v>371</v>
      </c>
      <c r="B18" s="31" t="s">
        <v>304</v>
      </c>
      <c r="C18" s="40">
        <f>SUMIF('Stavební rozpočet'!AI12:AI615,"SO304.1",'Stavební rozpočet'!AF12:AF615)</f>
        <v>0</v>
      </c>
      <c r="D18" s="91" t="s">
        <v>862</v>
      </c>
      <c r="E18" s="92"/>
      <c r="F18" s="38" t="s">
        <v>862</v>
      </c>
      <c r="G18" s="91" t="s">
        <v>808</v>
      </c>
      <c r="H18" s="92"/>
      <c r="I18" s="38" t="s">
        <v>645</v>
      </c>
    </row>
    <row r="19" spans="1:9" ht="15" customHeight="1">
      <c r="A19" s="1" t="s">
        <v>862</v>
      </c>
      <c r="B19" s="31" t="s">
        <v>224</v>
      </c>
      <c r="C19" s="40">
        <f>SUMIF('Stavební rozpočet'!AI12:AI615,"SO304.1",'Stavební rozpočet'!AG12:AG615)</f>
        <v>0</v>
      </c>
      <c r="D19" s="91" t="s">
        <v>862</v>
      </c>
      <c r="E19" s="92"/>
      <c r="F19" s="38" t="s">
        <v>862</v>
      </c>
      <c r="G19" s="91" t="s">
        <v>1224</v>
      </c>
      <c r="H19" s="92"/>
      <c r="I19" s="38" t="s">
        <v>645</v>
      </c>
    </row>
    <row r="20" spans="1:9" ht="15" customHeight="1">
      <c r="A20" s="85" t="s">
        <v>88</v>
      </c>
      <c r="B20" s="86"/>
      <c r="C20" s="40">
        <f>SUMIF('Stavební rozpočet'!AI12:AI615,"SO304.1",'Stavební rozpočet'!AH12:AH615)</f>
        <v>0</v>
      </c>
      <c r="D20" s="91" t="s">
        <v>862</v>
      </c>
      <c r="E20" s="92"/>
      <c r="F20" s="38" t="s">
        <v>862</v>
      </c>
      <c r="G20" s="91" t="s">
        <v>862</v>
      </c>
      <c r="H20" s="92"/>
      <c r="I20" s="38" t="s">
        <v>862</v>
      </c>
    </row>
    <row r="21" spans="1:9" ht="15" customHeight="1">
      <c r="A21" s="87" t="s">
        <v>1223</v>
      </c>
      <c r="B21" s="88"/>
      <c r="C21" s="40">
        <f>SUMIF('Stavební rozpočet'!AI12:AI615,"SO304.1",'Stavební rozpočet'!Z12:Z615)</f>
        <v>0</v>
      </c>
      <c r="D21" s="93" t="s">
        <v>862</v>
      </c>
      <c r="E21" s="94"/>
      <c r="F21" s="42" t="s">
        <v>862</v>
      </c>
      <c r="G21" s="93" t="s">
        <v>862</v>
      </c>
      <c r="H21" s="94"/>
      <c r="I21" s="42" t="s">
        <v>862</v>
      </c>
    </row>
    <row r="22" spans="1:9" ht="16.5" customHeight="1">
      <c r="A22" s="89" t="s">
        <v>231</v>
      </c>
      <c r="B22" s="90"/>
      <c r="C22" s="40">
        <f>SUM(C14:C21)</f>
        <v>0</v>
      </c>
      <c r="D22" s="95" t="s">
        <v>626</v>
      </c>
      <c r="E22" s="90"/>
      <c r="F22" s="17">
        <f>SUM(F14:F21)</f>
        <v>0</v>
      </c>
      <c r="G22" s="95" t="s">
        <v>1247</v>
      </c>
      <c r="H22" s="90"/>
      <c r="I22" s="2" t="s">
        <v>645</v>
      </c>
    </row>
    <row r="23" spans="7:8" ht="15" customHeight="1">
      <c r="G23" s="85" t="s">
        <v>859</v>
      </c>
      <c r="H23" s="86"/>
    </row>
    <row r="25" spans="1:3" ht="15" customHeight="1">
      <c r="A25" s="97" t="s">
        <v>486</v>
      </c>
      <c r="B25" s="98"/>
      <c r="C25" s="55">
        <f>('Stavební rozpočet'!AS592+'Stavební rozpočet'!AS596+'Stavební rozpočet'!AS598+'Stavební rozpočet'!AS601+'Stavební rozpočet'!AS604)</f>
        <v>0</v>
      </c>
    </row>
    <row r="26" spans="1:9" ht="15" customHeight="1">
      <c r="A26" s="99" t="s">
        <v>30</v>
      </c>
      <c r="B26" s="100"/>
      <c r="C26" s="34">
        <f>('Stavební rozpočet'!AT592+'Stavební rozpočet'!AT596+'Stavební rozpočet'!AT598+'Stavební rozpočet'!AT601+'Stavební rozpočet'!AT604)</f>
        <v>0</v>
      </c>
      <c r="D26" s="98" t="s">
        <v>262</v>
      </c>
      <c r="E26" s="98"/>
      <c r="F26" s="55">
        <f>ROUND(C26*(15/100),2)</f>
        <v>0</v>
      </c>
      <c r="G26" s="98" t="s">
        <v>172</v>
      </c>
      <c r="H26" s="98"/>
      <c r="I26" s="55">
        <f>SUM(C25:C27)</f>
        <v>0</v>
      </c>
    </row>
    <row r="27" spans="1:9" ht="15" customHeight="1">
      <c r="A27" s="99" t="s">
        <v>58</v>
      </c>
      <c r="B27" s="100"/>
      <c r="C27" s="34">
        <f>('Stavební rozpočet'!AU592+'Stavební rozpočet'!AU596+'Stavební rozpočet'!AU598+'Stavební rozpočet'!AU601+'Stavební rozpočet'!AU604)</f>
        <v>0</v>
      </c>
      <c r="D27" s="100" t="s">
        <v>930</v>
      </c>
      <c r="E27" s="100"/>
      <c r="F27" s="34">
        <f>ROUND(C27*(21/100),2)</f>
        <v>0</v>
      </c>
      <c r="G27" s="100" t="s">
        <v>482</v>
      </c>
      <c r="H27" s="100"/>
      <c r="I27" s="34">
        <f>SUM(F26:F27)+I26</f>
        <v>0</v>
      </c>
    </row>
    <row r="29" spans="1:9" ht="15" customHeight="1">
      <c r="A29" s="101" t="s">
        <v>21</v>
      </c>
      <c r="B29" s="102"/>
      <c r="C29" s="103"/>
      <c r="D29" s="102" t="s">
        <v>1176</v>
      </c>
      <c r="E29" s="102"/>
      <c r="F29" s="103"/>
      <c r="G29" s="102" t="s">
        <v>846</v>
      </c>
      <c r="H29" s="102"/>
      <c r="I29" s="103"/>
    </row>
    <row r="30" spans="1:9" ht="15" customHeight="1">
      <c r="A30" s="104" t="s">
        <v>862</v>
      </c>
      <c r="B30" s="93"/>
      <c r="C30" s="105"/>
      <c r="D30" s="93" t="s">
        <v>862</v>
      </c>
      <c r="E30" s="93"/>
      <c r="F30" s="105"/>
      <c r="G30" s="93" t="s">
        <v>862</v>
      </c>
      <c r="H30" s="93"/>
      <c r="I30" s="105"/>
    </row>
    <row r="31" spans="1:9" ht="15" customHeight="1">
      <c r="A31" s="104" t="s">
        <v>862</v>
      </c>
      <c r="B31" s="93"/>
      <c r="C31" s="105"/>
      <c r="D31" s="93" t="s">
        <v>862</v>
      </c>
      <c r="E31" s="93"/>
      <c r="F31" s="105"/>
      <c r="G31" s="93" t="s">
        <v>862</v>
      </c>
      <c r="H31" s="93"/>
      <c r="I31" s="105"/>
    </row>
    <row r="32" spans="1:9" ht="15" customHeight="1">
      <c r="A32" s="104" t="s">
        <v>862</v>
      </c>
      <c r="B32" s="93"/>
      <c r="C32" s="105"/>
      <c r="D32" s="93" t="s">
        <v>862</v>
      </c>
      <c r="E32" s="93"/>
      <c r="F32" s="105"/>
      <c r="G32" s="93" t="s">
        <v>862</v>
      </c>
      <c r="H32" s="93"/>
      <c r="I32" s="105"/>
    </row>
    <row r="33" spans="1:9" ht="15" customHeight="1">
      <c r="A33" s="106" t="s">
        <v>227</v>
      </c>
      <c r="B33" s="107"/>
      <c r="C33" s="108"/>
      <c r="D33" s="107" t="s">
        <v>227</v>
      </c>
      <c r="E33" s="107"/>
      <c r="F33" s="108"/>
      <c r="G33" s="107" t="s">
        <v>227</v>
      </c>
      <c r="H33" s="107"/>
      <c r="I33" s="108"/>
    </row>
    <row r="34" ht="15" customHeight="1">
      <c r="A34" s="4" t="s">
        <v>106</v>
      </c>
    </row>
    <row r="35" spans="1:9" ht="12.75" customHeight="1">
      <c r="A35" s="64" t="s">
        <v>862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  <mergeCell ref="A33:C33"/>
    <mergeCell ref="D29:F29"/>
    <mergeCell ref="D30:F30"/>
    <mergeCell ref="D31:F31"/>
    <mergeCell ref="D32:F32"/>
    <mergeCell ref="D33:F33"/>
    <mergeCell ref="A26:B26"/>
    <mergeCell ref="A27:B27"/>
    <mergeCell ref="D26:E26"/>
    <mergeCell ref="D27:E27"/>
    <mergeCell ref="G26:H26"/>
    <mergeCell ref="G27:H27"/>
    <mergeCell ref="G19:H19"/>
    <mergeCell ref="G20:H20"/>
    <mergeCell ref="G21:H21"/>
    <mergeCell ref="G22:H22"/>
    <mergeCell ref="G23:H23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A37" sqref="A37:I3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7" t="s">
        <v>270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8" t="s">
        <v>86</v>
      </c>
      <c r="B2" s="59"/>
      <c r="C2" s="65" t="str">
        <f>'Stavební rozpočet'!C2</f>
        <v>Stavební úprava ul. Sokolovská</v>
      </c>
      <c r="D2" s="66"/>
      <c r="E2" s="63" t="s">
        <v>1043</v>
      </c>
      <c r="F2" s="63" t="str">
        <f>'Stavební rozpočet'!K2</f>
        <v> </v>
      </c>
      <c r="G2" s="59"/>
      <c r="H2" s="63" t="s">
        <v>806</v>
      </c>
      <c r="I2" s="68" t="s">
        <v>862</v>
      </c>
    </row>
    <row r="3" spans="1:9" ht="15" customHeight="1">
      <c r="A3" s="60"/>
      <c r="B3" s="61"/>
      <c r="C3" s="67"/>
      <c r="D3" s="67"/>
      <c r="E3" s="61"/>
      <c r="F3" s="61"/>
      <c r="G3" s="61"/>
      <c r="H3" s="61"/>
      <c r="I3" s="69"/>
    </row>
    <row r="4" spans="1:9" ht="15" customHeight="1">
      <c r="A4" s="62" t="s">
        <v>674</v>
      </c>
      <c r="B4" s="61"/>
      <c r="C4" s="64" t="str">
        <f>'Stavební rozpočet'!C4</f>
        <v>Stavební úprava ulice včetně inž. sítí</v>
      </c>
      <c r="D4" s="61"/>
      <c r="E4" s="64" t="s">
        <v>858</v>
      </c>
      <c r="F4" s="64" t="str">
        <f>'Stavební rozpočet'!K4</f>
        <v>Bau-projekt spol s.r.o. Jan Hyliš</v>
      </c>
      <c r="G4" s="61"/>
      <c r="H4" s="64" t="s">
        <v>806</v>
      </c>
      <c r="I4" s="69" t="s">
        <v>192</v>
      </c>
    </row>
    <row r="5" spans="1:9" ht="15" customHeight="1">
      <c r="A5" s="60"/>
      <c r="B5" s="61"/>
      <c r="C5" s="61"/>
      <c r="D5" s="61"/>
      <c r="E5" s="61"/>
      <c r="F5" s="61"/>
      <c r="G5" s="61"/>
      <c r="H5" s="61"/>
      <c r="I5" s="69"/>
    </row>
    <row r="6" spans="1:9" ht="15" customHeight="1">
      <c r="A6" s="62" t="s">
        <v>109</v>
      </c>
      <c r="B6" s="61"/>
      <c r="C6" s="64" t="str">
        <f>'Stavební rozpočet'!C6</f>
        <v>Milevsko</v>
      </c>
      <c r="D6" s="61"/>
      <c r="E6" s="64" t="s">
        <v>1077</v>
      </c>
      <c r="F6" s="64" t="str">
        <f>'Stavební rozpočet'!K6</f>
        <v> </v>
      </c>
      <c r="G6" s="61"/>
      <c r="H6" s="64" t="s">
        <v>806</v>
      </c>
      <c r="I6" s="69" t="s">
        <v>862</v>
      </c>
    </row>
    <row r="7" spans="1:9" ht="15" customHeight="1">
      <c r="A7" s="60"/>
      <c r="B7" s="61"/>
      <c r="C7" s="61"/>
      <c r="D7" s="61"/>
      <c r="E7" s="61"/>
      <c r="F7" s="61"/>
      <c r="G7" s="61"/>
      <c r="H7" s="61"/>
      <c r="I7" s="69"/>
    </row>
    <row r="8" spans="1:9" ht="15" customHeight="1">
      <c r="A8" s="62" t="s">
        <v>1095</v>
      </c>
      <c r="B8" s="61"/>
      <c r="C8" s="64" t="str">
        <f>'Stavební rozpočet'!H4</f>
        <v>01.08.2023</v>
      </c>
      <c r="D8" s="61"/>
      <c r="E8" s="64" t="s">
        <v>389</v>
      </c>
      <c r="F8" s="64" t="str">
        <f>'Stavební rozpočet'!H6</f>
        <v>31.10.2024</v>
      </c>
      <c r="G8" s="61"/>
      <c r="H8" s="61" t="s">
        <v>1246</v>
      </c>
      <c r="I8" s="79">
        <v>453</v>
      </c>
    </row>
    <row r="9" spans="1:9" ht="15" customHeight="1">
      <c r="A9" s="60"/>
      <c r="B9" s="61"/>
      <c r="C9" s="61"/>
      <c r="D9" s="61"/>
      <c r="E9" s="61"/>
      <c r="F9" s="61"/>
      <c r="G9" s="61"/>
      <c r="H9" s="61"/>
      <c r="I9" s="69"/>
    </row>
    <row r="10" spans="1:9" ht="15" customHeight="1">
      <c r="A10" s="62" t="s">
        <v>592</v>
      </c>
      <c r="B10" s="61"/>
      <c r="C10" s="64" t="str">
        <f>'Stavební rozpočet'!C8</f>
        <v> </v>
      </c>
      <c r="D10" s="61"/>
      <c r="E10" s="64" t="s">
        <v>826</v>
      </c>
      <c r="F10" s="64" t="str">
        <f>'Stavební rozpočet'!K8</f>
        <v> </v>
      </c>
      <c r="G10" s="61"/>
      <c r="H10" s="61" t="s">
        <v>1205</v>
      </c>
      <c r="I10" s="80" t="str">
        <f>'Stavební rozpočet'!H8</f>
        <v>01.06.2023</v>
      </c>
    </row>
    <row r="11" spans="1:9" ht="15" customHeight="1">
      <c r="A11" s="78"/>
      <c r="B11" s="70"/>
      <c r="C11" s="70"/>
      <c r="D11" s="70"/>
      <c r="E11" s="70"/>
      <c r="F11" s="70"/>
      <c r="G11" s="70"/>
      <c r="H11" s="70"/>
      <c r="I11" s="81"/>
    </row>
    <row r="12" spans="1:9" ht="22.5" customHeight="1">
      <c r="A12" s="82" t="s">
        <v>200</v>
      </c>
      <c r="B12" s="82"/>
      <c r="C12" s="82"/>
      <c r="D12" s="82"/>
      <c r="E12" s="82"/>
      <c r="F12" s="82"/>
      <c r="G12" s="82"/>
      <c r="H12" s="82"/>
      <c r="I12" s="82"/>
    </row>
    <row r="13" spans="1:9" ht="26.25" customHeight="1">
      <c r="A13" s="9" t="s">
        <v>1106</v>
      </c>
      <c r="B13" s="83" t="s">
        <v>152</v>
      </c>
      <c r="C13" s="84"/>
      <c r="D13" s="41" t="s">
        <v>212</v>
      </c>
      <c r="E13" s="83" t="s">
        <v>437</v>
      </c>
      <c r="F13" s="84"/>
      <c r="G13" s="41" t="s">
        <v>791</v>
      </c>
      <c r="H13" s="83" t="s">
        <v>215</v>
      </c>
      <c r="I13" s="84"/>
    </row>
    <row r="14" spans="1:9" ht="15" customHeight="1">
      <c r="A14" s="16" t="s">
        <v>448</v>
      </c>
      <c r="B14" s="31" t="s">
        <v>304</v>
      </c>
      <c r="C14" s="40">
        <f>SUM('Stavební rozpočet'!AB12:AB615)</f>
        <v>0</v>
      </c>
      <c r="D14" s="91" t="s">
        <v>894</v>
      </c>
      <c r="E14" s="92"/>
      <c r="F14" s="40">
        <v>0</v>
      </c>
      <c r="G14" s="91" t="s">
        <v>126</v>
      </c>
      <c r="H14" s="92"/>
      <c r="I14" s="38" t="s">
        <v>645</v>
      </c>
    </row>
    <row r="15" spans="1:9" ht="15" customHeight="1">
      <c r="A15" s="1" t="s">
        <v>862</v>
      </c>
      <c r="B15" s="31" t="s">
        <v>224</v>
      </c>
      <c r="C15" s="40">
        <f>SUM('Stavební rozpočet'!AC12:AC615)</f>
        <v>0</v>
      </c>
      <c r="D15" s="91" t="s">
        <v>122</v>
      </c>
      <c r="E15" s="92"/>
      <c r="F15" s="40">
        <v>0</v>
      </c>
      <c r="G15" s="91" t="s">
        <v>989</v>
      </c>
      <c r="H15" s="92"/>
      <c r="I15" s="38" t="s">
        <v>645</v>
      </c>
    </row>
    <row r="16" spans="1:9" ht="15" customHeight="1">
      <c r="A16" s="16" t="s">
        <v>116</v>
      </c>
      <c r="B16" s="31" t="s">
        <v>304</v>
      </c>
      <c r="C16" s="40">
        <f>SUM('Stavební rozpočet'!AD12:AD615)</f>
        <v>0</v>
      </c>
      <c r="D16" s="91" t="s">
        <v>923</v>
      </c>
      <c r="E16" s="92"/>
      <c r="F16" s="40">
        <v>0</v>
      </c>
      <c r="G16" s="91" t="s">
        <v>1190</v>
      </c>
      <c r="H16" s="92"/>
      <c r="I16" s="38" t="s">
        <v>645</v>
      </c>
    </row>
    <row r="17" spans="1:9" ht="15" customHeight="1">
      <c r="A17" s="1" t="s">
        <v>862</v>
      </c>
      <c r="B17" s="31" t="s">
        <v>224</v>
      </c>
      <c r="C17" s="40">
        <f>SUM('Stavební rozpočet'!AE12:AE615)</f>
        <v>0</v>
      </c>
      <c r="D17" s="91" t="s">
        <v>862</v>
      </c>
      <c r="E17" s="92"/>
      <c r="F17" s="38" t="s">
        <v>862</v>
      </c>
      <c r="G17" s="91" t="s">
        <v>651</v>
      </c>
      <c r="H17" s="92"/>
      <c r="I17" s="38" t="s">
        <v>645</v>
      </c>
    </row>
    <row r="18" spans="1:9" ht="15" customHeight="1">
      <c r="A18" s="16" t="s">
        <v>371</v>
      </c>
      <c r="B18" s="31" t="s">
        <v>304</v>
      </c>
      <c r="C18" s="40">
        <f>SUM('Stavební rozpočet'!AF12:AF615)</f>
        <v>0</v>
      </c>
      <c r="D18" s="91" t="s">
        <v>862</v>
      </c>
      <c r="E18" s="92"/>
      <c r="F18" s="38" t="s">
        <v>862</v>
      </c>
      <c r="G18" s="91" t="s">
        <v>808</v>
      </c>
      <c r="H18" s="92"/>
      <c r="I18" s="38" t="s">
        <v>645</v>
      </c>
    </row>
    <row r="19" spans="1:9" ht="15" customHeight="1">
      <c r="A19" s="1" t="s">
        <v>862</v>
      </c>
      <c r="B19" s="31" t="s">
        <v>224</v>
      </c>
      <c r="C19" s="40">
        <f>SUM('Stavební rozpočet'!AG12:AG615)</f>
        <v>0</v>
      </c>
      <c r="D19" s="91" t="s">
        <v>862</v>
      </c>
      <c r="E19" s="92"/>
      <c r="F19" s="38" t="s">
        <v>862</v>
      </c>
      <c r="G19" s="91" t="s">
        <v>1224</v>
      </c>
      <c r="H19" s="92"/>
      <c r="I19" s="38" t="s">
        <v>645</v>
      </c>
    </row>
    <row r="20" spans="1:9" ht="15" customHeight="1">
      <c r="A20" s="85" t="s">
        <v>88</v>
      </c>
      <c r="B20" s="86"/>
      <c r="C20" s="40">
        <f>SUM('Stavební rozpočet'!AH12:AH615)</f>
        <v>0</v>
      </c>
      <c r="D20" s="91" t="s">
        <v>862</v>
      </c>
      <c r="E20" s="92"/>
      <c r="F20" s="38" t="s">
        <v>862</v>
      </c>
      <c r="G20" s="91" t="s">
        <v>862</v>
      </c>
      <c r="H20" s="92"/>
      <c r="I20" s="38" t="s">
        <v>862</v>
      </c>
    </row>
    <row r="21" spans="1:9" ht="15" customHeight="1">
      <c r="A21" s="87" t="s">
        <v>1223</v>
      </c>
      <c r="B21" s="88"/>
      <c r="C21" s="27">
        <f>SUM('Stavební rozpočet'!Z12:Z615)</f>
        <v>0</v>
      </c>
      <c r="D21" s="93" t="s">
        <v>862</v>
      </c>
      <c r="E21" s="94"/>
      <c r="F21" s="42" t="s">
        <v>862</v>
      </c>
      <c r="G21" s="93" t="s">
        <v>862</v>
      </c>
      <c r="H21" s="94"/>
      <c r="I21" s="42" t="s">
        <v>862</v>
      </c>
    </row>
    <row r="22" spans="1:9" ht="16.5" customHeight="1">
      <c r="A22" s="89" t="s">
        <v>231</v>
      </c>
      <c r="B22" s="90"/>
      <c r="C22" s="17">
        <f>SUM(C14:C21)</f>
        <v>0</v>
      </c>
      <c r="D22" s="95" t="s">
        <v>626</v>
      </c>
      <c r="E22" s="90"/>
      <c r="F22" s="17">
        <f>SUM(F14:F21)</f>
        <v>0</v>
      </c>
      <c r="G22" s="95" t="s">
        <v>1247</v>
      </c>
      <c r="H22" s="90"/>
      <c r="I22" s="17">
        <f>SUM(I14:I21)</f>
        <v>0</v>
      </c>
    </row>
    <row r="23" spans="4:9" ht="15" customHeight="1">
      <c r="D23" s="85" t="s">
        <v>994</v>
      </c>
      <c r="E23" s="86"/>
      <c r="F23" s="40">
        <f>'Krycí list rozpočtu (SO)'!F22+'Krycí list rozpočtu (SO 100)'!F22+'Krycí list rozpočtu (SO 100a)'!F22+'Krycí list rozpočtu (SO 301)'!F22+'Krycí list rozpočtu (SO 302)'!F22+'Krycí list rozpočtu (SO 303)'!F22+'Krycí list rozpočtu (SO 304)'!F22+'Krycí list rozpočtu (SO 305)'!F22+'Krycí list rozpočtu (SO 800)'!F22+'Krycí list rozpočtu (SO100b)'!F22+'Krycí list rozpočtu (SO304.1)'!F22</f>
        <v>0</v>
      </c>
      <c r="G23" s="96" t="s">
        <v>66</v>
      </c>
      <c r="H23" s="86"/>
      <c r="I23" s="40">
        <f>'Krycí list rozpočtu (SO)'!I22+'Krycí list rozpočtu (SO 100)'!I22+'Krycí list rozpočtu (SO 100a)'!I22+'Krycí list rozpočtu (SO 301)'!I22+'Krycí list rozpočtu (SO 302)'!I22+'Krycí list rozpočtu (SO 303)'!I22+'Krycí list rozpočtu (SO 304)'!I22+'Krycí list rozpočtu (SO 305)'!I22+'Krycí list rozpočtu (SO 800)'!I22+'Krycí list rozpočtu (SO100b)'!I22+'Krycí list rozpočtu (SO304.1)'!I22</f>
        <v>0</v>
      </c>
    </row>
    <row r="24" spans="7:8" ht="15" customHeight="1">
      <c r="G24" s="85" t="s">
        <v>859</v>
      </c>
      <c r="H24" s="86"/>
    </row>
    <row r="25" spans="7:9" ht="15" customHeight="1">
      <c r="G25" s="85" t="s">
        <v>962</v>
      </c>
      <c r="H25" s="86"/>
      <c r="I25" s="17">
        <f>'Krycí list rozpočtu (SO)'!I23+'Krycí list rozpočtu (SO 100)'!I23+'Krycí list rozpočtu (SO 100a)'!I23+'Krycí list rozpočtu (SO 301)'!I23+'Krycí list rozpočtu (SO 302)'!I23+'Krycí list rozpočtu (SO 303)'!I23+'Krycí list rozpočtu (SO 304)'!I23+'Krycí list rozpočtu (SO 305)'!I23+'Krycí list rozpočtu (SO 800)'!I23+'Krycí list rozpočtu (SO100b)'!I23+'Krycí list rozpočtu (SO304.1)'!I23</f>
        <v>0</v>
      </c>
    </row>
    <row r="27" spans="1:3" ht="15" customHeight="1">
      <c r="A27" s="97" t="s">
        <v>486</v>
      </c>
      <c r="B27" s="98"/>
      <c r="C27" s="55">
        <f>SUM('Stavební rozpočet'!AJ12:AJ615)</f>
        <v>0</v>
      </c>
    </row>
    <row r="28" spans="1:9" ht="15" customHeight="1">
      <c r="A28" s="99" t="s">
        <v>30</v>
      </c>
      <c r="B28" s="100"/>
      <c r="C28" s="34">
        <f>SUM('Stavební rozpočet'!AK12:AK615)</f>
        <v>0</v>
      </c>
      <c r="D28" s="98" t="s">
        <v>262</v>
      </c>
      <c r="E28" s="98"/>
      <c r="F28" s="55">
        <f>ROUND(C28*(15/100),2)</f>
        <v>0</v>
      </c>
      <c r="G28" s="98" t="s">
        <v>172</v>
      </c>
      <c r="H28" s="98"/>
      <c r="I28" s="55">
        <f>SUM(C27:C29)</f>
        <v>0</v>
      </c>
    </row>
    <row r="29" spans="1:9" ht="15" customHeight="1">
      <c r="A29" s="99" t="s">
        <v>58</v>
      </c>
      <c r="B29" s="100"/>
      <c r="C29" s="34">
        <f>SUM('Stavební rozpočet'!AL12:AL615)</f>
        <v>0</v>
      </c>
      <c r="D29" s="100" t="s">
        <v>930</v>
      </c>
      <c r="E29" s="100"/>
      <c r="F29" s="34">
        <f>ROUND(C29*(21/100),2)</f>
        <v>0</v>
      </c>
      <c r="G29" s="100" t="s">
        <v>482</v>
      </c>
      <c r="H29" s="100"/>
      <c r="I29" s="34">
        <f>SUM(F28:F29)+I28</f>
        <v>0</v>
      </c>
    </row>
    <row r="31" spans="1:9" ht="15" customHeight="1">
      <c r="A31" s="101" t="s">
        <v>21</v>
      </c>
      <c r="B31" s="102"/>
      <c r="C31" s="103"/>
      <c r="D31" s="102" t="s">
        <v>1176</v>
      </c>
      <c r="E31" s="102"/>
      <c r="F31" s="103"/>
      <c r="G31" s="102" t="s">
        <v>846</v>
      </c>
      <c r="H31" s="102"/>
      <c r="I31" s="103"/>
    </row>
    <row r="32" spans="1:9" ht="15" customHeight="1">
      <c r="A32" s="104" t="s">
        <v>862</v>
      </c>
      <c r="B32" s="93"/>
      <c r="C32" s="105"/>
      <c r="D32" s="93" t="s">
        <v>862</v>
      </c>
      <c r="E32" s="93"/>
      <c r="F32" s="105"/>
      <c r="G32" s="93" t="s">
        <v>862</v>
      </c>
      <c r="H32" s="93"/>
      <c r="I32" s="105"/>
    </row>
    <row r="33" spans="1:9" ht="15" customHeight="1">
      <c r="A33" s="104" t="s">
        <v>862</v>
      </c>
      <c r="B33" s="93"/>
      <c r="C33" s="105"/>
      <c r="D33" s="93" t="s">
        <v>862</v>
      </c>
      <c r="E33" s="93"/>
      <c r="F33" s="105"/>
      <c r="G33" s="93" t="s">
        <v>862</v>
      </c>
      <c r="H33" s="93"/>
      <c r="I33" s="105"/>
    </row>
    <row r="34" spans="1:9" ht="15" customHeight="1">
      <c r="A34" s="104" t="s">
        <v>862</v>
      </c>
      <c r="B34" s="93"/>
      <c r="C34" s="105"/>
      <c r="D34" s="93" t="s">
        <v>862</v>
      </c>
      <c r="E34" s="93"/>
      <c r="F34" s="105"/>
      <c r="G34" s="93" t="s">
        <v>862</v>
      </c>
      <c r="H34" s="93"/>
      <c r="I34" s="105"/>
    </row>
    <row r="35" spans="1:9" ht="15" customHeight="1">
      <c r="A35" s="106" t="s">
        <v>227</v>
      </c>
      <c r="B35" s="107"/>
      <c r="C35" s="108"/>
      <c r="D35" s="107" t="s">
        <v>227</v>
      </c>
      <c r="E35" s="107"/>
      <c r="F35" s="108"/>
      <c r="G35" s="107" t="s">
        <v>227</v>
      </c>
      <c r="H35" s="107"/>
      <c r="I35" s="108"/>
    </row>
    <row r="36" ht="15" customHeight="1">
      <c r="A36" s="4" t="s">
        <v>106</v>
      </c>
    </row>
    <row r="37" spans="1:9" ht="12.75" customHeight="1">
      <c r="A37" s="64" t="s">
        <v>862</v>
      </c>
      <c r="B37" s="61"/>
      <c r="C37" s="61"/>
      <c r="D37" s="61"/>
      <c r="E37" s="61"/>
      <c r="F37" s="61"/>
      <c r="G37" s="61"/>
      <c r="H37" s="61"/>
      <c r="I37" s="61"/>
    </row>
  </sheetData>
  <sheetProtection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7" t="s">
        <v>730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8" t="s">
        <v>86</v>
      </c>
      <c r="B2" s="59"/>
      <c r="C2" s="65" t="str">
        <f>'Stavební rozpočet'!C2</f>
        <v>Stavební úprava ul. Sokolovská</v>
      </c>
      <c r="D2" s="66"/>
      <c r="E2" s="63" t="s">
        <v>1043</v>
      </c>
      <c r="F2" s="63" t="str">
        <f>'Stavební rozpočet'!K2</f>
        <v> </v>
      </c>
      <c r="G2" s="59"/>
      <c r="H2" s="63" t="s">
        <v>806</v>
      </c>
      <c r="I2" s="68" t="s">
        <v>862</v>
      </c>
    </row>
    <row r="3" spans="1:9" ht="15" customHeight="1">
      <c r="A3" s="60"/>
      <c r="B3" s="61"/>
      <c r="C3" s="67"/>
      <c r="D3" s="67"/>
      <c r="E3" s="61"/>
      <c r="F3" s="61"/>
      <c r="G3" s="61"/>
      <c r="H3" s="61"/>
      <c r="I3" s="69"/>
    </row>
    <row r="4" spans="1:9" ht="15" customHeight="1">
      <c r="A4" s="62" t="s">
        <v>674</v>
      </c>
      <c r="B4" s="61"/>
      <c r="C4" s="64" t="str">
        <f>'Stavební rozpočet'!C4</f>
        <v>Stavební úprava ulice včetně inž. sítí</v>
      </c>
      <c r="D4" s="61"/>
      <c r="E4" s="64" t="s">
        <v>858</v>
      </c>
      <c r="F4" s="64" t="str">
        <f>'Stavební rozpočet'!K4</f>
        <v>Bau-projekt spol s.r.o. Jan Hyliš</v>
      </c>
      <c r="G4" s="61"/>
      <c r="H4" s="64" t="s">
        <v>806</v>
      </c>
      <c r="I4" s="69" t="s">
        <v>192</v>
      </c>
    </row>
    <row r="5" spans="1:9" ht="15" customHeight="1">
      <c r="A5" s="60"/>
      <c r="B5" s="61"/>
      <c r="C5" s="61"/>
      <c r="D5" s="61"/>
      <c r="E5" s="61"/>
      <c r="F5" s="61"/>
      <c r="G5" s="61"/>
      <c r="H5" s="61"/>
      <c r="I5" s="69"/>
    </row>
    <row r="6" spans="1:9" ht="15" customHeight="1">
      <c r="A6" s="62" t="s">
        <v>109</v>
      </c>
      <c r="B6" s="61"/>
      <c r="C6" s="64" t="str">
        <f>'Stavební rozpočet'!C6</f>
        <v>Milevsko</v>
      </c>
      <c r="D6" s="61"/>
      <c r="E6" s="64" t="s">
        <v>1077</v>
      </c>
      <c r="F6" s="64" t="str">
        <f>'Stavební rozpočet'!K6</f>
        <v> </v>
      </c>
      <c r="G6" s="61"/>
      <c r="H6" s="64" t="s">
        <v>806</v>
      </c>
      <c r="I6" s="69" t="s">
        <v>862</v>
      </c>
    </row>
    <row r="7" spans="1:9" ht="15" customHeight="1">
      <c r="A7" s="60"/>
      <c r="B7" s="61"/>
      <c r="C7" s="61"/>
      <c r="D7" s="61"/>
      <c r="E7" s="61"/>
      <c r="F7" s="61"/>
      <c r="G7" s="61"/>
      <c r="H7" s="61"/>
      <c r="I7" s="69"/>
    </row>
    <row r="8" spans="1:9" ht="15" customHeight="1">
      <c r="A8" s="62" t="s">
        <v>1095</v>
      </c>
      <c r="B8" s="61"/>
      <c r="C8" s="64" t="str">
        <f>'Stavební rozpočet'!H4</f>
        <v>01.08.2023</v>
      </c>
      <c r="D8" s="61"/>
      <c r="E8" s="64" t="s">
        <v>389</v>
      </c>
      <c r="F8" s="64" t="str">
        <f>'Stavební rozpočet'!H6</f>
        <v>31.10.2024</v>
      </c>
      <c r="G8" s="61"/>
      <c r="H8" s="61" t="s">
        <v>1246</v>
      </c>
      <c r="I8" s="79">
        <v>31</v>
      </c>
    </row>
    <row r="9" spans="1:9" ht="15" customHeight="1">
      <c r="A9" s="60"/>
      <c r="B9" s="61"/>
      <c r="C9" s="61"/>
      <c r="D9" s="61"/>
      <c r="E9" s="61"/>
      <c r="F9" s="61"/>
      <c r="G9" s="61"/>
      <c r="H9" s="61"/>
      <c r="I9" s="69"/>
    </row>
    <row r="10" spans="1:9" ht="15" customHeight="1">
      <c r="A10" s="62" t="s">
        <v>592</v>
      </c>
      <c r="B10" s="61"/>
      <c r="C10" s="64" t="str">
        <f>'Stavební rozpočet'!C8</f>
        <v> </v>
      </c>
      <c r="D10" s="61"/>
      <c r="E10" s="64" t="s">
        <v>826</v>
      </c>
      <c r="F10" s="64" t="str">
        <f>'Stavební rozpočet'!K8</f>
        <v> </v>
      </c>
      <c r="G10" s="61"/>
      <c r="H10" s="61" t="s">
        <v>1205</v>
      </c>
      <c r="I10" s="80" t="str">
        <f>'Stavební rozpočet'!H8</f>
        <v>01.06.2023</v>
      </c>
    </row>
    <row r="11" spans="1:9" ht="15" customHeight="1">
      <c r="A11" s="78"/>
      <c r="B11" s="70"/>
      <c r="C11" s="70"/>
      <c r="D11" s="70"/>
      <c r="E11" s="70"/>
      <c r="F11" s="70"/>
      <c r="G11" s="70"/>
      <c r="H11" s="70"/>
      <c r="I11" s="81"/>
    </row>
    <row r="12" spans="1:9" ht="22.5" customHeight="1">
      <c r="A12" s="82" t="s">
        <v>200</v>
      </c>
      <c r="B12" s="82"/>
      <c r="C12" s="82"/>
      <c r="D12" s="82"/>
      <c r="E12" s="82"/>
      <c r="F12" s="82"/>
      <c r="G12" s="82"/>
      <c r="H12" s="82"/>
      <c r="I12" s="82"/>
    </row>
    <row r="13" spans="1:9" ht="26.25" customHeight="1">
      <c r="A13" s="9" t="s">
        <v>1106</v>
      </c>
      <c r="B13" s="83" t="s">
        <v>152</v>
      </c>
      <c r="C13" s="84"/>
      <c r="D13" s="41" t="s">
        <v>212</v>
      </c>
      <c r="E13" s="83" t="s">
        <v>437</v>
      </c>
      <c r="F13" s="84"/>
      <c r="G13" s="41" t="s">
        <v>791</v>
      </c>
      <c r="H13" s="83" t="s">
        <v>215</v>
      </c>
      <c r="I13" s="84"/>
    </row>
    <row r="14" spans="1:9" ht="15" customHeight="1">
      <c r="A14" s="16" t="s">
        <v>448</v>
      </c>
      <c r="B14" s="31" t="s">
        <v>304</v>
      </c>
      <c r="C14" s="40">
        <f>SUMIF('Stavební rozpočet'!AI12:AI615,"SO",'Stavební rozpočet'!AB12:AB615)</f>
        <v>0</v>
      </c>
      <c r="D14" s="91" t="s">
        <v>894</v>
      </c>
      <c r="E14" s="92"/>
      <c r="F14" s="40">
        <v>0</v>
      </c>
      <c r="G14" s="91" t="s">
        <v>126</v>
      </c>
      <c r="H14" s="92"/>
      <c r="I14" s="38" t="s">
        <v>645</v>
      </c>
    </row>
    <row r="15" spans="1:9" ht="15" customHeight="1">
      <c r="A15" s="1" t="s">
        <v>862</v>
      </c>
      <c r="B15" s="31" t="s">
        <v>224</v>
      </c>
      <c r="C15" s="40">
        <f>SUMIF('Stavební rozpočet'!AI12:AI615,"SO",'Stavební rozpočet'!AC12:AC615)</f>
        <v>0</v>
      </c>
      <c r="D15" s="91" t="s">
        <v>122</v>
      </c>
      <c r="E15" s="92"/>
      <c r="F15" s="40">
        <v>0</v>
      </c>
      <c r="G15" s="91" t="s">
        <v>989</v>
      </c>
      <c r="H15" s="92"/>
      <c r="I15" s="38" t="s">
        <v>645</v>
      </c>
    </row>
    <row r="16" spans="1:9" ht="15" customHeight="1">
      <c r="A16" s="16" t="s">
        <v>116</v>
      </c>
      <c r="B16" s="31" t="s">
        <v>304</v>
      </c>
      <c r="C16" s="40">
        <f>SUMIF('Stavební rozpočet'!AI12:AI615,"SO",'Stavební rozpočet'!AD12:AD615)</f>
        <v>0</v>
      </c>
      <c r="D16" s="91" t="s">
        <v>923</v>
      </c>
      <c r="E16" s="92"/>
      <c r="F16" s="40">
        <v>0</v>
      </c>
      <c r="G16" s="91" t="s">
        <v>1190</v>
      </c>
      <c r="H16" s="92"/>
      <c r="I16" s="38" t="s">
        <v>645</v>
      </c>
    </row>
    <row r="17" spans="1:9" ht="15" customHeight="1">
      <c r="A17" s="1" t="s">
        <v>862</v>
      </c>
      <c r="B17" s="31" t="s">
        <v>224</v>
      </c>
      <c r="C17" s="40">
        <f>SUMIF('Stavební rozpočet'!AI12:AI615,"SO",'Stavební rozpočet'!AE12:AE615)</f>
        <v>0</v>
      </c>
      <c r="D17" s="91" t="s">
        <v>862</v>
      </c>
      <c r="E17" s="92"/>
      <c r="F17" s="38" t="s">
        <v>862</v>
      </c>
      <c r="G17" s="91" t="s">
        <v>651</v>
      </c>
      <c r="H17" s="92"/>
      <c r="I17" s="38" t="s">
        <v>645</v>
      </c>
    </row>
    <row r="18" spans="1:9" ht="15" customHeight="1">
      <c r="A18" s="16" t="s">
        <v>371</v>
      </c>
      <c r="B18" s="31" t="s">
        <v>304</v>
      </c>
      <c r="C18" s="40">
        <f>SUMIF('Stavební rozpočet'!AI12:AI615,"SO",'Stavební rozpočet'!AF12:AF615)</f>
        <v>0</v>
      </c>
      <c r="D18" s="91" t="s">
        <v>862</v>
      </c>
      <c r="E18" s="92"/>
      <c r="F18" s="38" t="s">
        <v>862</v>
      </c>
      <c r="G18" s="91" t="s">
        <v>808</v>
      </c>
      <c r="H18" s="92"/>
      <c r="I18" s="38" t="s">
        <v>645</v>
      </c>
    </row>
    <row r="19" spans="1:9" ht="15" customHeight="1">
      <c r="A19" s="1" t="s">
        <v>862</v>
      </c>
      <c r="B19" s="31" t="s">
        <v>224</v>
      </c>
      <c r="C19" s="40">
        <f>SUMIF('Stavební rozpočet'!AI12:AI615,"SO",'Stavební rozpočet'!AG12:AG615)</f>
        <v>0</v>
      </c>
      <c r="D19" s="91" t="s">
        <v>862</v>
      </c>
      <c r="E19" s="92"/>
      <c r="F19" s="38" t="s">
        <v>862</v>
      </c>
      <c r="G19" s="91" t="s">
        <v>1224</v>
      </c>
      <c r="H19" s="92"/>
      <c r="I19" s="38" t="s">
        <v>645</v>
      </c>
    </row>
    <row r="20" spans="1:9" ht="15" customHeight="1">
      <c r="A20" s="85" t="s">
        <v>88</v>
      </c>
      <c r="B20" s="86"/>
      <c r="C20" s="40">
        <f>SUMIF('Stavební rozpočet'!AI12:AI615,"SO",'Stavební rozpočet'!AH12:AH615)</f>
        <v>0</v>
      </c>
      <c r="D20" s="91" t="s">
        <v>862</v>
      </c>
      <c r="E20" s="92"/>
      <c r="F20" s="38" t="s">
        <v>862</v>
      </c>
      <c r="G20" s="91" t="s">
        <v>862</v>
      </c>
      <c r="H20" s="92"/>
      <c r="I20" s="38" t="s">
        <v>862</v>
      </c>
    </row>
    <row r="21" spans="1:9" ht="15" customHeight="1">
      <c r="A21" s="87" t="s">
        <v>1223</v>
      </c>
      <c r="B21" s="88"/>
      <c r="C21" s="40">
        <f>SUMIF('Stavební rozpočet'!AI12:AI615,"SO",'Stavební rozpočet'!Z12:Z615)</f>
        <v>0</v>
      </c>
      <c r="D21" s="93" t="s">
        <v>862</v>
      </c>
      <c r="E21" s="94"/>
      <c r="F21" s="42" t="s">
        <v>862</v>
      </c>
      <c r="G21" s="93" t="s">
        <v>862</v>
      </c>
      <c r="H21" s="94"/>
      <c r="I21" s="42" t="s">
        <v>862</v>
      </c>
    </row>
    <row r="22" spans="1:9" ht="16.5" customHeight="1">
      <c r="A22" s="89" t="s">
        <v>231</v>
      </c>
      <c r="B22" s="90"/>
      <c r="C22" s="40">
        <f>SUM(C14:C21)</f>
        <v>0</v>
      </c>
      <c r="D22" s="95" t="s">
        <v>626</v>
      </c>
      <c r="E22" s="90"/>
      <c r="F22" s="17">
        <f>SUM(F14:F21)</f>
        <v>0</v>
      </c>
      <c r="G22" s="95" t="s">
        <v>1247</v>
      </c>
      <c r="H22" s="90"/>
      <c r="I22" s="17">
        <f>SUM(I14:I21)</f>
        <v>0</v>
      </c>
    </row>
    <row r="23" spans="7:8" ht="15" customHeight="1">
      <c r="G23" s="85" t="s">
        <v>859</v>
      </c>
      <c r="H23" s="86"/>
    </row>
    <row r="25" spans="1:3" ht="15" customHeight="1">
      <c r="A25" s="97" t="s">
        <v>486</v>
      </c>
      <c r="B25" s="98"/>
      <c r="C25" s="55">
        <f>('Stavební rozpočet'!AS13+'Stavební rozpočet'!AS15+'Stavební rozpočet'!AS17+'Stavební rozpočet'!AS20+'Stavební rozpočet'!AS23+'Stavební rozpočet'!AS30+'Stavební rozpočet'!AS34+'Stavební rozpočet'!AS42+'Stavební rozpočet'!AS49+'Stavební rozpočet'!AS50+'Stavební rozpočet'!AS52+'Stavební rozpočet'!AS54+'Stavební rozpočet'!AS59)</f>
        <v>0</v>
      </c>
    </row>
    <row r="26" spans="1:9" ht="15" customHeight="1">
      <c r="A26" s="99" t="s">
        <v>30</v>
      </c>
      <c r="B26" s="100"/>
      <c r="C26" s="34">
        <f>('Stavební rozpočet'!AT13+'Stavební rozpočet'!AT15+'Stavební rozpočet'!AT17+'Stavební rozpočet'!AT20+'Stavební rozpočet'!AT23+'Stavební rozpočet'!AT30+'Stavební rozpočet'!AT34+'Stavební rozpočet'!AT42+'Stavební rozpočet'!AT49+'Stavební rozpočet'!AT50+'Stavební rozpočet'!AT52+'Stavební rozpočet'!AT54+'Stavební rozpočet'!AT59)</f>
        <v>0</v>
      </c>
      <c r="D26" s="98" t="s">
        <v>262</v>
      </c>
      <c r="E26" s="98"/>
      <c r="F26" s="55">
        <f>ROUND(C26*(15/100),2)</f>
        <v>0</v>
      </c>
      <c r="G26" s="98" t="s">
        <v>172</v>
      </c>
      <c r="H26" s="98"/>
      <c r="I26" s="55">
        <f>SUM(C25:C27)</f>
        <v>0</v>
      </c>
    </row>
    <row r="27" spans="1:9" ht="15" customHeight="1">
      <c r="A27" s="99" t="s">
        <v>58</v>
      </c>
      <c r="B27" s="100"/>
      <c r="C27" s="34">
        <f>('Stavební rozpočet'!AU13+'Stavební rozpočet'!AU15+'Stavební rozpočet'!AU17+'Stavební rozpočet'!AU20+'Stavební rozpočet'!AU23+'Stavební rozpočet'!AU30+'Stavební rozpočet'!AU34+'Stavební rozpočet'!AU42+'Stavební rozpočet'!AU49+'Stavební rozpočet'!AU50+'Stavební rozpočet'!AU52+'Stavební rozpočet'!AU54+'Stavební rozpočet'!AU59)</f>
        <v>0</v>
      </c>
      <c r="D27" s="100" t="s">
        <v>930</v>
      </c>
      <c r="E27" s="100"/>
      <c r="F27" s="34">
        <f>ROUND(C27*(21/100),2)</f>
        <v>0</v>
      </c>
      <c r="G27" s="100" t="s">
        <v>482</v>
      </c>
      <c r="H27" s="100"/>
      <c r="I27" s="34">
        <f>SUM(F26:F27)+I26</f>
        <v>0</v>
      </c>
    </row>
    <row r="29" spans="1:9" ht="15" customHeight="1">
      <c r="A29" s="101" t="s">
        <v>21</v>
      </c>
      <c r="B29" s="102"/>
      <c r="C29" s="103"/>
      <c r="D29" s="102" t="s">
        <v>1176</v>
      </c>
      <c r="E29" s="102"/>
      <c r="F29" s="103"/>
      <c r="G29" s="102" t="s">
        <v>846</v>
      </c>
      <c r="H29" s="102"/>
      <c r="I29" s="103"/>
    </row>
    <row r="30" spans="1:9" ht="15" customHeight="1">
      <c r="A30" s="104" t="s">
        <v>862</v>
      </c>
      <c r="B30" s="93"/>
      <c r="C30" s="105"/>
      <c r="D30" s="93" t="s">
        <v>862</v>
      </c>
      <c r="E30" s="93"/>
      <c r="F30" s="105"/>
      <c r="G30" s="93" t="s">
        <v>862</v>
      </c>
      <c r="H30" s="93"/>
      <c r="I30" s="105"/>
    </row>
    <row r="31" spans="1:9" ht="15" customHeight="1">
      <c r="A31" s="104" t="s">
        <v>862</v>
      </c>
      <c r="B31" s="93"/>
      <c r="C31" s="105"/>
      <c r="D31" s="93" t="s">
        <v>862</v>
      </c>
      <c r="E31" s="93"/>
      <c r="F31" s="105"/>
      <c r="G31" s="93" t="s">
        <v>862</v>
      </c>
      <c r="H31" s="93"/>
      <c r="I31" s="105"/>
    </row>
    <row r="32" spans="1:9" ht="15" customHeight="1">
      <c r="A32" s="104" t="s">
        <v>862</v>
      </c>
      <c r="B32" s="93"/>
      <c r="C32" s="105"/>
      <c r="D32" s="93" t="s">
        <v>862</v>
      </c>
      <c r="E32" s="93"/>
      <c r="F32" s="105"/>
      <c r="G32" s="93" t="s">
        <v>862</v>
      </c>
      <c r="H32" s="93"/>
      <c r="I32" s="105"/>
    </row>
    <row r="33" spans="1:9" ht="15" customHeight="1">
      <c r="A33" s="106" t="s">
        <v>227</v>
      </c>
      <c r="B33" s="107"/>
      <c r="C33" s="108"/>
      <c r="D33" s="107" t="s">
        <v>227</v>
      </c>
      <c r="E33" s="107"/>
      <c r="F33" s="108"/>
      <c r="G33" s="107" t="s">
        <v>227</v>
      </c>
      <c r="H33" s="107"/>
      <c r="I33" s="108"/>
    </row>
    <row r="34" ht="15" customHeight="1">
      <c r="A34" s="4" t="s">
        <v>106</v>
      </c>
    </row>
    <row r="35" spans="1:9" ht="12.75" customHeight="1">
      <c r="A35" s="64" t="s">
        <v>862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  <mergeCell ref="A33:C33"/>
    <mergeCell ref="D29:F29"/>
    <mergeCell ref="D30:F30"/>
    <mergeCell ref="D31:F31"/>
    <mergeCell ref="D32:F32"/>
    <mergeCell ref="D33:F33"/>
    <mergeCell ref="A26:B26"/>
    <mergeCell ref="A27:B27"/>
    <mergeCell ref="D26:E26"/>
    <mergeCell ref="D27:E27"/>
    <mergeCell ref="G26:H26"/>
    <mergeCell ref="G27:H27"/>
    <mergeCell ref="G19:H19"/>
    <mergeCell ref="G20:H20"/>
    <mergeCell ref="G21:H21"/>
    <mergeCell ref="G22:H22"/>
    <mergeCell ref="G23:H23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7" t="s">
        <v>315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8" t="s">
        <v>86</v>
      </c>
      <c r="B2" s="59"/>
      <c r="C2" s="65" t="str">
        <f>'Stavební rozpočet'!C2</f>
        <v>Stavební úprava ul. Sokolovská</v>
      </c>
      <c r="D2" s="66"/>
      <c r="E2" s="63" t="s">
        <v>1043</v>
      </c>
      <c r="F2" s="63" t="str">
        <f>'Stavební rozpočet'!K2</f>
        <v> </v>
      </c>
      <c r="G2" s="59"/>
      <c r="H2" s="63" t="s">
        <v>806</v>
      </c>
      <c r="I2" s="68" t="s">
        <v>862</v>
      </c>
    </row>
    <row r="3" spans="1:9" ht="15" customHeight="1">
      <c r="A3" s="60"/>
      <c r="B3" s="61"/>
      <c r="C3" s="67"/>
      <c r="D3" s="67"/>
      <c r="E3" s="61"/>
      <c r="F3" s="61"/>
      <c r="G3" s="61"/>
      <c r="H3" s="61"/>
      <c r="I3" s="69"/>
    </row>
    <row r="4" spans="1:9" ht="15" customHeight="1">
      <c r="A4" s="62" t="s">
        <v>674</v>
      </c>
      <c r="B4" s="61"/>
      <c r="C4" s="64" t="str">
        <f>'Stavební rozpočet'!C4</f>
        <v>Stavební úprava ulice včetně inž. sítí</v>
      </c>
      <c r="D4" s="61"/>
      <c r="E4" s="64" t="s">
        <v>858</v>
      </c>
      <c r="F4" s="64" t="str">
        <f>'Stavební rozpočet'!K4</f>
        <v>Bau-projekt spol s.r.o. Jan Hyliš</v>
      </c>
      <c r="G4" s="61"/>
      <c r="H4" s="64" t="s">
        <v>806</v>
      </c>
      <c r="I4" s="69" t="s">
        <v>192</v>
      </c>
    </row>
    <row r="5" spans="1:9" ht="15" customHeight="1">
      <c r="A5" s="60"/>
      <c r="B5" s="61"/>
      <c r="C5" s="61"/>
      <c r="D5" s="61"/>
      <c r="E5" s="61"/>
      <c r="F5" s="61"/>
      <c r="G5" s="61"/>
      <c r="H5" s="61"/>
      <c r="I5" s="69"/>
    </row>
    <row r="6" spans="1:9" ht="15" customHeight="1">
      <c r="A6" s="62" t="s">
        <v>109</v>
      </c>
      <c r="B6" s="61"/>
      <c r="C6" s="64" t="str">
        <f>'Stavební rozpočet'!C6</f>
        <v>Milevsko</v>
      </c>
      <c r="D6" s="61"/>
      <c r="E6" s="64" t="s">
        <v>1077</v>
      </c>
      <c r="F6" s="64" t="str">
        <f>'Stavební rozpočet'!K6</f>
        <v> </v>
      </c>
      <c r="G6" s="61"/>
      <c r="H6" s="64" t="s">
        <v>806</v>
      </c>
      <c r="I6" s="69" t="s">
        <v>862</v>
      </c>
    </row>
    <row r="7" spans="1:9" ht="15" customHeight="1">
      <c r="A7" s="60"/>
      <c r="B7" s="61"/>
      <c r="C7" s="61"/>
      <c r="D7" s="61"/>
      <c r="E7" s="61"/>
      <c r="F7" s="61"/>
      <c r="G7" s="61"/>
      <c r="H7" s="61"/>
      <c r="I7" s="69"/>
    </row>
    <row r="8" spans="1:9" ht="15" customHeight="1">
      <c r="A8" s="62" t="s">
        <v>1095</v>
      </c>
      <c r="B8" s="61"/>
      <c r="C8" s="64" t="str">
        <f>'Stavební rozpočet'!H4</f>
        <v>01.08.2023</v>
      </c>
      <c r="D8" s="61"/>
      <c r="E8" s="64" t="s">
        <v>389</v>
      </c>
      <c r="F8" s="64" t="str">
        <f>'Stavební rozpočet'!H6</f>
        <v>31.10.2024</v>
      </c>
      <c r="G8" s="61"/>
      <c r="H8" s="61" t="s">
        <v>1246</v>
      </c>
      <c r="I8" s="79">
        <v>0</v>
      </c>
    </row>
    <row r="9" spans="1:9" ht="15" customHeight="1">
      <c r="A9" s="60"/>
      <c r="B9" s="61"/>
      <c r="C9" s="61"/>
      <c r="D9" s="61"/>
      <c r="E9" s="61"/>
      <c r="F9" s="61"/>
      <c r="G9" s="61"/>
      <c r="H9" s="61"/>
      <c r="I9" s="69"/>
    </row>
    <row r="10" spans="1:9" ht="15" customHeight="1">
      <c r="A10" s="62" t="s">
        <v>592</v>
      </c>
      <c r="B10" s="61"/>
      <c r="C10" s="64" t="str">
        <f>'Stavební rozpočet'!C8</f>
        <v> </v>
      </c>
      <c r="D10" s="61"/>
      <c r="E10" s="64" t="s">
        <v>826</v>
      </c>
      <c r="F10" s="64" t="str">
        <f>'Stavební rozpočet'!K8</f>
        <v> </v>
      </c>
      <c r="G10" s="61"/>
      <c r="H10" s="61" t="s">
        <v>1205</v>
      </c>
      <c r="I10" s="80" t="str">
        <f>'Stavební rozpočet'!H8</f>
        <v>01.06.2023</v>
      </c>
    </row>
    <row r="11" spans="1:9" ht="15" customHeight="1">
      <c r="A11" s="78"/>
      <c r="B11" s="70"/>
      <c r="C11" s="70"/>
      <c r="D11" s="70"/>
      <c r="E11" s="70"/>
      <c r="F11" s="70"/>
      <c r="G11" s="70"/>
      <c r="H11" s="70"/>
      <c r="I11" s="81"/>
    </row>
    <row r="12" spans="1:9" ht="22.5" customHeight="1">
      <c r="A12" s="82" t="s">
        <v>200</v>
      </c>
      <c r="B12" s="82"/>
      <c r="C12" s="82"/>
      <c r="D12" s="82"/>
      <c r="E12" s="82"/>
      <c r="F12" s="82"/>
      <c r="G12" s="82"/>
      <c r="H12" s="82"/>
      <c r="I12" s="82"/>
    </row>
    <row r="13" spans="1:9" ht="26.25" customHeight="1">
      <c r="A13" s="9" t="s">
        <v>1106</v>
      </c>
      <c r="B13" s="83" t="s">
        <v>152</v>
      </c>
      <c r="C13" s="84"/>
      <c r="D13" s="41" t="s">
        <v>212</v>
      </c>
      <c r="E13" s="83" t="s">
        <v>437</v>
      </c>
      <c r="F13" s="84"/>
      <c r="G13" s="41" t="s">
        <v>791</v>
      </c>
      <c r="H13" s="83" t="s">
        <v>215</v>
      </c>
      <c r="I13" s="84"/>
    </row>
    <row r="14" spans="1:9" ht="15" customHeight="1">
      <c r="A14" s="16" t="s">
        <v>448</v>
      </c>
      <c r="B14" s="31" t="s">
        <v>304</v>
      </c>
      <c r="C14" s="40">
        <f>0</f>
        <v>0</v>
      </c>
      <c r="D14" s="91" t="s">
        <v>894</v>
      </c>
      <c r="E14" s="92"/>
      <c r="F14" s="40">
        <v>0</v>
      </c>
      <c r="G14" s="91" t="s">
        <v>126</v>
      </c>
      <c r="H14" s="92"/>
      <c r="I14" s="38" t="s">
        <v>645</v>
      </c>
    </row>
    <row r="15" spans="1:9" ht="15" customHeight="1">
      <c r="A15" s="1" t="s">
        <v>862</v>
      </c>
      <c r="B15" s="31" t="s">
        <v>224</v>
      </c>
      <c r="C15" s="40">
        <f>0</f>
        <v>0</v>
      </c>
      <c r="D15" s="91" t="s">
        <v>122</v>
      </c>
      <c r="E15" s="92"/>
      <c r="F15" s="40">
        <v>0</v>
      </c>
      <c r="G15" s="91" t="s">
        <v>989</v>
      </c>
      <c r="H15" s="92"/>
      <c r="I15" s="38" t="s">
        <v>645</v>
      </c>
    </row>
    <row r="16" spans="1:9" ht="15" customHeight="1">
      <c r="A16" s="16" t="s">
        <v>116</v>
      </c>
      <c r="B16" s="31" t="s">
        <v>304</v>
      </c>
      <c r="C16" s="40">
        <f>0</f>
        <v>0</v>
      </c>
      <c r="D16" s="91" t="s">
        <v>923</v>
      </c>
      <c r="E16" s="92"/>
      <c r="F16" s="40">
        <v>0</v>
      </c>
      <c r="G16" s="91" t="s">
        <v>1190</v>
      </c>
      <c r="H16" s="92"/>
      <c r="I16" s="38" t="s">
        <v>645</v>
      </c>
    </row>
    <row r="17" spans="1:9" ht="15" customHeight="1">
      <c r="A17" s="1" t="s">
        <v>862</v>
      </c>
      <c r="B17" s="31" t="s">
        <v>224</v>
      </c>
      <c r="C17" s="40">
        <f>0</f>
        <v>0</v>
      </c>
      <c r="D17" s="91" t="s">
        <v>862</v>
      </c>
      <c r="E17" s="92"/>
      <c r="F17" s="38" t="s">
        <v>862</v>
      </c>
      <c r="G17" s="91" t="s">
        <v>651</v>
      </c>
      <c r="H17" s="92"/>
      <c r="I17" s="38" t="s">
        <v>645</v>
      </c>
    </row>
    <row r="18" spans="1:9" ht="15" customHeight="1">
      <c r="A18" s="16" t="s">
        <v>371</v>
      </c>
      <c r="B18" s="31" t="s">
        <v>304</v>
      </c>
      <c r="C18" s="40">
        <f>0</f>
        <v>0</v>
      </c>
      <c r="D18" s="91" t="s">
        <v>862</v>
      </c>
      <c r="E18" s="92"/>
      <c r="F18" s="38" t="s">
        <v>862</v>
      </c>
      <c r="G18" s="91" t="s">
        <v>808</v>
      </c>
      <c r="H18" s="92"/>
      <c r="I18" s="38" t="s">
        <v>645</v>
      </c>
    </row>
    <row r="19" spans="1:9" ht="15" customHeight="1">
      <c r="A19" s="1" t="s">
        <v>862</v>
      </c>
      <c r="B19" s="31" t="s">
        <v>224</v>
      </c>
      <c r="C19" s="40">
        <f>0</f>
        <v>0</v>
      </c>
      <c r="D19" s="91" t="s">
        <v>862</v>
      </c>
      <c r="E19" s="92"/>
      <c r="F19" s="38" t="s">
        <v>862</v>
      </c>
      <c r="G19" s="91" t="s">
        <v>1224</v>
      </c>
      <c r="H19" s="92"/>
      <c r="I19" s="38" t="s">
        <v>645</v>
      </c>
    </row>
    <row r="20" spans="1:9" ht="15" customHeight="1">
      <c r="A20" s="85" t="s">
        <v>88</v>
      </c>
      <c r="B20" s="86"/>
      <c r="C20" s="40">
        <f>0</f>
        <v>0</v>
      </c>
      <c r="D20" s="91" t="s">
        <v>862</v>
      </c>
      <c r="E20" s="92"/>
      <c r="F20" s="38" t="s">
        <v>862</v>
      </c>
      <c r="G20" s="91" t="s">
        <v>862</v>
      </c>
      <c r="H20" s="92"/>
      <c r="I20" s="38" t="s">
        <v>862</v>
      </c>
    </row>
    <row r="21" spans="1:9" ht="15" customHeight="1">
      <c r="A21" s="87" t="s">
        <v>1223</v>
      </c>
      <c r="B21" s="88"/>
      <c r="C21" s="27">
        <f>0</f>
        <v>0</v>
      </c>
      <c r="D21" s="93" t="s">
        <v>862</v>
      </c>
      <c r="E21" s="94"/>
      <c r="F21" s="42" t="s">
        <v>862</v>
      </c>
      <c r="G21" s="93" t="s">
        <v>862</v>
      </c>
      <c r="H21" s="94"/>
      <c r="I21" s="42" t="s">
        <v>862</v>
      </c>
    </row>
    <row r="22" spans="1:9" ht="16.5" customHeight="1">
      <c r="A22" s="89" t="s">
        <v>231</v>
      </c>
      <c r="B22" s="90"/>
      <c r="C22" s="17">
        <f>SUM(C14:C21)</f>
        <v>0</v>
      </c>
      <c r="D22" s="95" t="s">
        <v>626</v>
      </c>
      <c r="E22" s="90"/>
      <c r="F22" s="17">
        <f>SUM(F14:F21)</f>
        <v>0</v>
      </c>
      <c r="G22" s="95" t="s">
        <v>1247</v>
      </c>
      <c r="H22" s="90"/>
      <c r="I22" s="17">
        <f>SUM(I14:I21)</f>
        <v>0</v>
      </c>
    </row>
    <row r="23" spans="7:8" ht="15" customHeight="1">
      <c r="G23" s="85" t="s">
        <v>859</v>
      </c>
      <c r="H23" s="86"/>
    </row>
    <row r="25" spans="1:3" ht="15" customHeight="1">
      <c r="A25" s="97" t="s">
        <v>486</v>
      </c>
      <c r="B25" s="98"/>
      <c r="C25" s="55">
        <f>0</f>
        <v>0</v>
      </c>
    </row>
    <row r="26" spans="1:9" ht="15" customHeight="1">
      <c r="A26" s="99" t="s">
        <v>30</v>
      </c>
      <c r="B26" s="100"/>
      <c r="C26" s="34">
        <f>0</f>
        <v>0</v>
      </c>
      <c r="D26" s="98" t="s">
        <v>262</v>
      </c>
      <c r="E26" s="98"/>
      <c r="F26" s="55">
        <f>ROUND(C26*(15/100),2)</f>
        <v>0</v>
      </c>
      <c r="G26" s="98" t="s">
        <v>172</v>
      </c>
      <c r="H26" s="98"/>
      <c r="I26" s="55">
        <f>SUM(C25:C27)</f>
        <v>0</v>
      </c>
    </row>
    <row r="27" spans="1:9" ht="15" customHeight="1">
      <c r="A27" s="99" t="s">
        <v>58</v>
      </c>
      <c r="B27" s="100"/>
      <c r="C27" s="34">
        <f>0</f>
        <v>0</v>
      </c>
      <c r="D27" s="100" t="s">
        <v>930</v>
      </c>
      <c r="E27" s="100"/>
      <c r="F27" s="34">
        <f>ROUND(C27*(21/100),2)</f>
        <v>0</v>
      </c>
      <c r="G27" s="100" t="s">
        <v>482</v>
      </c>
      <c r="H27" s="100"/>
      <c r="I27" s="34">
        <f>SUM(F26:F27)+I26</f>
        <v>0</v>
      </c>
    </row>
    <row r="29" spans="1:9" ht="15" customHeight="1">
      <c r="A29" s="101" t="s">
        <v>21</v>
      </c>
      <c r="B29" s="102"/>
      <c r="C29" s="103"/>
      <c r="D29" s="102" t="s">
        <v>1176</v>
      </c>
      <c r="E29" s="102"/>
      <c r="F29" s="103"/>
      <c r="G29" s="102" t="s">
        <v>846</v>
      </c>
      <c r="H29" s="102"/>
      <c r="I29" s="103"/>
    </row>
    <row r="30" spans="1:9" ht="15" customHeight="1">
      <c r="A30" s="104" t="s">
        <v>862</v>
      </c>
      <c r="B30" s="93"/>
      <c r="C30" s="105"/>
      <c r="D30" s="93" t="s">
        <v>862</v>
      </c>
      <c r="E30" s="93"/>
      <c r="F30" s="105"/>
      <c r="G30" s="93" t="s">
        <v>862</v>
      </c>
      <c r="H30" s="93"/>
      <c r="I30" s="105"/>
    </row>
    <row r="31" spans="1:9" ht="15" customHeight="1">
      <c r="A31" s="104" t="s">
        <v>862</v>
      </c>
      <c r="B31" s="93"/>
      <c r="C31" s="105"/>
      <c r="D31" s="93" t="s">
        <v>862</v>
      </c>
      <c r="E31" s="93"/>
      <c r="F31" s="105"/>
      <c r="G31" s="93" t="s">
        <v>862</v>
      </c>
      <c r="H31" s="93"/>
      <c r="I31" s="105"/>
    </row>
    <row r="32" spans="1:9" ht="15" customHeight="1">
      <c r="A32" s="104" t="s">
        <v>862</v>
      </c>
      <c r="B32" s="93"/>
      <c r="C32" s="105"/>
      <c r="D32" s="93" t="s">
        <v>862</v>
      </c>
      <c r="E32" s="93"/>
      <c r="F32" s="105"/>
      <c r="G32" s="93" t="s">
        <v>862</v>
      </c>
      <c r="H32" s="93"/>
      <c r="I32" s="105"/>
    </row>
    <row r="33" spans="1:9" ht="15" customHeight="1">
      <c r="A33" s="106" t="s">
        <v>227</v>
      </c>
      <c r="B33" s="107"/>
      <c r="C33" s="108"/>
      <c r="D33" s="107" t="s">
        <v>227</v>
      </c>
      <c r="E33" s="107"/>
      <c r="F33" s="108"/>
      <c r="G33" s="107" t="s">
        <v>227</v>
      </c>
      <c r="H33" s="107"/>
      <c r="I33" s="108"/>
    </row>
    <row r="34" ht="15" customHeight="1">
      <c r="A34" s="4" t="s">
        <v>106</v>
      </c>
    </row>
    <row r="35" spans="1:9" ht="12.75" customHeight="1">
      <c r="A35" s="64" t="s">
        <v>862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  <mergeCell ref="A33:C33"/>
    <mergeCell ref="D29:F29"/>
    <mergeCell ref="D30:F30"/>
    <mergeCell ref="D31:F31"/>
    <mergeCell ref="D32:F32"/>
    <mergeCell ref="D33:F33"/>
    <mergeCell ref="A26:B26"/>
    <mergeCell ref="A27:B27"/>
    <mergeCell ref="D26:E26"/>
    <mergeCell ref="D27:E27"/>
    <mergeCell ref="G26:H26"/>
    <mergeCell ref="G27:H27"/>
    <mergeCell ref="G19:H19"/>
    <mergeCell ref="G20:H20"/>
    <mergeCell ref="G21:H21"/>
    <mergeCell ref="G22:H22"/>
    <mergeCell ref="G23:H23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7" t="s">
        <v>373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8" t="s">
        <v>86</v>
      </c>
      <c r="B2" s="59"/>
      <c r="C2" s="65" t="str">
        <f>'Stavební rozpočet'!C2</f>
        <v>Stavební úprava ul. Sokolovská</v>
      </c>
      <c r="D2" s="66"/>
      <c r="E2" s="63" t="s">
        <v>1043</v>
      </c>
      <c r="F2" s="63" t="str">
        <f>'Stavební rozpočet'!K2</f>
        <v> </v>
      </c>
      <c r="G2" s="59"/>
      <c r="H2" s="63" t="s">
        <v>806</v>
      </c>
      <c r="I2" s="68" t="s">
        <v>862</v>
      </c>
    </row>
    <row r="3" spans="1:9" ht="15" customHeight="1">
      <c r="A3" s="60"/>
      <c r="B3" s="61"/>
      <c r="C3" s="67"/>
      <c r="D3" s="67"/>
      <c r="E3" s="61"/>
      <c r="F3" s="61"/>
      <c r="G3" s="61"/>
      <c r="H3" s="61"/>
      <c r="I3" s="69"/>
    </row>
    <row r="4" spans="1:9" ht="15" customHeight="1">
      <c r="A4" s="62" t="s">
        <v>674</v>
      </c>
      <c r="B4" s="61"/>
      <c r="C4" s="64" t="str">
        <f>'Stavební rozpočet'!C4</f>
        <v>Stavební úprava ulice včetně inž. sítí</v>
      </c>
      <c r="D4" s="61"/>
      <c r="E4" s="64" t="s">
        <v>858</v>
      </c>
      <c r="F4" s="64" t="str">
        <f>'Stavební rozpočet'!K4</f>
        <v>Bau-projekt spol s.r.o. Jan Hyliš</v>
      </c>
      <c r="G4" s="61"/>
      <c r="H4" s="64" t="s">
        <v>806</v>
      </c>
      <c r="I4" s="69" t="s">
        <v>192</v>
      </c>
    </row>
    <row r="5" spans="1:9" ht="15" customHeight="1">
      <c r="A5" s="60"/>
      <c r="B5" s="61"/>
      <c r="C5" s="61"/>
      <c r="D5" s="61"/>
      <c r="E5" s="61"/>
      <c r="F5" s="61"/>
      <c r="G5" s="61"/>
      <c r="H5" s="61"/>
      <c r="I5" s="69"/>
    </row>
    <row r="6" spans="1:9" ht="15" customHeight="1">
      <c r="A6" s="62" t="s">
        <v>109</v>
      </c>
      <c r="B6" s="61"/>
      <c r="C6" s="64" t="str">
        <f>'Stavební rozpočet'!C6</f>
        <v>Milevsko</v>
      </c>
      <c r="D6" s="61"/>
      <c r="E6" s="64" t="s">
        <v>1077</v>
      </c>
      <c r="F6" s="64" t="str">
        <f>'Stavební rozpočet'!K6</f>
        <v> </v>
      </c>
      <c r="G6" s="61"/>
      <c r="H6" s="64" t="s">
        <v>806</v>
      </c>
      <c r="I6" s="69" t="s">
        <v>862</v>
      </c>
    </row>
    <row r="7" spans="1:9" ht="15" customHeight="1">
      <c r="A7" s="60"/>
      <c r="B7" s="61"/>
      <c r="C7" s="61"/>
      <c r="D7" s="61"/>
      <c r="E7" s="61"/>
      <c r="F7" s="61"/>
      <c r="G7" s="61"/>
      <c r="H7" s="61"/>
      <c r="I7" s="69"/>
    </row>
    <row r="8" spans="1:9" ht="15" customHeight="1">
      <c r="A8" s="62" t="s">
        <v>1095</v>
      </c>
      <c r="B8" s="61"/>
      <c r="C8" s="64" t="str">
        <f>'Stavební rozpočet'!H4</f>
        <v>01.08.2023</v>
      </c>
      <c r="D8" s="61"/>
      <c r="E8" s="64" t="s">
        <v>389</v>
      </c>
      <c r="F8" s="64" t="str">
        <f>'Stavební rozpočet'!H6</f>
        <v>31.10.2024</v>
      </c>
      <c r="G8" s="61"/>
      <c r="H8" s="61" t="s">
        <v>1246</v>
      </c>
      <c r="I8" s="79">
        <v>13</v>
      </c>
    </row>
    <row r="9" spans="1:9" ht="15" customHeight="1">
      <c r="A9" s="60"/>
      <c r="B9" s="61"/>
      <c r="C9" s="61"/>
      <c r="D9" s="61"/>
      <c r="E9" s="61"/>
      <c r="F9" s="61"/>
      <c r="G9" s="61"/>
      <c r="H9" s="61"/>
      <c r="I9" s="69"/>
    </row>
    <row r="10" spans="1:9" ht="15" customHeight="1">
      <c r="A10" s="62" t="s">
        <v>592</v>
      </c>
      <c r="B10" s="61"/>
      <c r="C10" s="64" t="str">
        <f>'Stavební rozpočet'!C8</f>
        <v> </v>
      </c>
      <c r="D10" s="61"/>
      <c r="E10" s="64" t="s">
        <v>826</v>
      </c>
      <c r="F10" s="64" t="str">
        <f>'Stavební rozpočet'!K8</f>
        <v> </v>
      </c>
      <c r="G10" s="61"/>
      <c r="H10" s="61" t="s">
        <v>1205</v>
      </c>
      <c r="I10" s="80" t="str">
        <f>'Stavební rozpočet'!H8</f>
        <v>01.06.2023</v>
      </c>
    </row>
    <row r="11" spans="1:9" ht="15" customHeight="1">
      <c r="A11" s="78"/>
      <c r="B11" s="70"/>
      <c r="C11" s="70"/>
      <c r="D11" s="70"/>
      <c r="E11" s="70"/>
      <c r="F11" s="70"/>
      <c r="G11" s="70"/>
      <c r="H11" s="70"/>
      <c r="I11" s="81"/>
    </row>
    <row r="12" spans="1:9" ht="22.5" customHeight="1">
      <c r="A12" s="82" t="s">
        <v>200</v>
      </c>
      <c r="B12" s="82"/>
      <c r="C12" s="82"/>
      <c r="D12" s="82"/>
      <c r="E12" s="82"/>
      <c r="F12" s="82"/>
      <c r="G12" s="82"/>
      <c r="H12" s="82"/>
      <c r="I12" s="82"/>
    </row>
    <row r="13" spans="1:9" ht="26.25" customHeight="1">
      <c r="A13" s="9" t="s">
        <v>1106</v>
      </c>
      <c r="B13" s="83" t="s">
        <v>152</v>
      </c>
      <c r="C13" s="84"/>
      <c r="D13" s="41" t="s">
        <v>212</v>
      </c>
      <c r="E13" s="83" t="s">
        <v>437</v>
      </c>
      <c r="F13" s="84"/>
      <c r="G13" s="41" t="s">
        <v>791</v>
      </c>
      <c r="H13" s="83" t="s">
        <v>215</v>
      </c>
      <c r="I13" s="84"/>
    </row>
    <row r="14" spans="1:9" ht="15" customHeight="1">
      <c r="A14" s="16" t="s">
        <v>448</v>
      </c>
      <c r="B14" s="31" t="s">
        <v>304</v>
      </c>
      <c r="C14" s="40">
        <f>SUMIF('Stavební rozpočet'!AI12:AI615,"SO 100a",'Stavební rozpočet'!AB12:AB615)</f>
        <v>0</v>
      </c>
      <c r="D14" s="91" t="s">
        <v>894</v>
      </c>
      <c r="E14" s="92"/>
      <c r="F14" s="40">
        <v>0</v>
      </c>
      <c r="G14" s="91" t="s">
        <v>126</v>
      </c>
      <c r="H14" s="92"/>
      <c r="I14" s="38" t="s">
        <v>645</v>
      </c>
    </row>
    <row r="15" spans="1:9" ht="15" customHeight="1">
      <c r="A15" s="1" t="s">
        <v>862</v>
      </c>
      <c r="B15" s="31" t="s">
        <v>224</v>
      </c>
      <c r="C15" s="40">
        <f>SUMIF('Stavební rozpočet'!AI12:AI615,"SO 100a",'Stavební rozpočet'!AC12:AC615)</f>
        <v>0</v>
      </c>
      <c r="D15" s="91" t="s">
        <v>122</v>
      </c>
      <c r="E15" s="92"/>
      <c r="F15" s="40">
        <v>0</v>
      </c>
      <c r="G15" s="91" t="s">
        <v>989</v>
      </c>
      <c r="H15" s="92"/>
      <c r="I15" s="38" t="s">
        <v>645</v>
      </c>
    </row>
    <row r="16" spans="1:9" ht="15" customHeight="1">
      <c r="A16" s="16" t="s">
        <v>116</v>
      </c>
      <c r="B16" s="31" t="s">
        <v>304</v>
      </c>
      <c r="C16" s="40">
        <f>SUMIF('Stavební rozpočet'!AI12:AI615,"SO 100a",'Stavební rozpočet'!AD12:AD615)</f>
        <v>0</v>
      </c>
      <c r="D16" s="91" t="s">
        <v>923</v>
      </c>
      <c r="E16" s="92"/>
      <c r="F16" s="40">
        <v>0</v>
      </c>
      <c r="G16" s="91" t="s">
        <v>1190</v>
      </c>
      <c r="H16" s="92"/>
      <c r="I16" s="38" t="s">
        <v>645</v>
      </c>
    </row>
    <row r="17" spans="1:9" ht="15" customHeight="1">
      <c r="A17" s="1" t="s">
        <v>862</v>
      </c>
      <c r="B17" s="31" t="s">
        <v>224</v>
      </c>
      <c r="C17" s="40">
        <f>SUMIF('Stavební rozpočet'!AI12:AI615,"SO 100a",'Stavební rozpočet'!AE12:AE615)</f>
        <v>0</v>
      </c>
      <c r="D17" s="91" t="s">
        <v>862</v>
      </c>
      <c r="E17" s="92"/>
      <c r="F17" s="38" t="s">
        <v>862</v>
      </c>
      <c r="G17" s="91" t="s">
        <v>651</v>
      </c>
      <c r="H17" s="92"/>
      <c r="I17" s="38" t="s">
        <v>645</v>
      </c>
    </row>
    <row r="18" spans="1:9" ht="15" customHeight="1">
      <c r="A18" s="16" t="s">
        <v>371</v>
      </c>
      <c r="B18" s="31" t="s">
        <v>304</v>
      </c>
      <c r="C18" s="40">
        <f>SUMIF('Stavební rozpočet'!AI12:AI615,"SO 100a",'Stavební rozpočet'!AF12:AF615)</f>
        <v>0</v>
      </c>
      <c r="D18" s="91" t="s">
        <v>862</v>
      </c>
      <c r="E18" s="92"/>
      <c r="F18" s="38" t="s">
        <v>862</v>
      </c>
      <c r="G18" s="91" t="s">
        <v>808</v>
      </c>
      <c r="H18" s="92"/>
      <c r="I18" s="38" t="s">
        <v>645</v>
      </c>
    </row>
    <row r="19" spans="1:9" ht="15" customHeight="1">
      <c r="A19" s="1" t="s">
        <v>862</v>
      </c>
      <c r="B19" s="31" t="s">
        <v>224</v>
      </c>
      <c r="C19" s="40">
        <f>SUMIF('Stavební rozpočet'!AI12:AI615,"SO 100a",'Stavební rozpočet'!AG12:AG615)</f>
        <v>0</v>
      </c>
      <c r="D19" s="91" t="s">
        <v>862</v>
      </c>
      <c r="E19" s="92"/>
      <c r="F19" s="38" t="s">
        <v>862</v>
      </c>
      <c r="G19" s="91" t="s">
        <v>1224</v>
      </c>
      <c r="H19" s="92"/>
      <c r="I19" s="38" t="s">
        <v>645</v>
      </c>
    </row>
    <row r="20" spans="1:9" ht="15" customHeight="1">
      <c r="A20" s="85" t="s">
        <v>88</v>
      </c>
      <c r="B20" s="86"/>
      <c r="C20" s="40">
        <f>SUMIF('Stavební rozpočet'!AI12:AI615,"SO 100a",'Stavební rozpočet'!AH12:AH615)</f>
        <v>0</v>
      </c>
      <c r="D20" s="91" t="s">
        <v>862</v>
      </c>
      <c r="E20" s="92"/>
      <c r="F20" s="38" t="s">
        <v>862</v>
      </c>
      <c r="G20" s="91" t="s">
        <v>862</v>
      </c>
      <c r="H20" s="92"/>
      <c r="I20" s="38" t="s">
        <v>862</v>
      </c>
    </row>
    <row r="21" spans="1:9" ht="15" customHeight="1">
      <c r="A21" s="87" t="s">
        <v>1223</v>
      </c>
      <c r="B21" s="88"/>
      <c r="C21" s="40">
        <f>SUMIF('Stavební rozpočet'!AI12:AI615,"SO 100a",'Stavební rozpočet'!Z12:Z615)</f>
        <v>0</v>
      </c>
      <c r="D21" s="93" t="s">
        <v>862</v>
      </c>
      <c r="E21" s="94"/>
      <c r="F21" s="42" t="s">
        <v>862</v>
      </c>
      <c r="G21" s="93" t="s">
        <v>862</v>
      </c>
      <c r="H21" s="94"/>
      <c r="I21" s="42" t="s">
        <v>862</v>
      </c>
    </row>
    <row r="22" spans="1:9" ht="16.5" customHeight="1">
      <c r="A22" s="89" t="s">
        <v>231</v>
      </c>
      <c r="B22" s="90"/>
      <c r="C22" s="40">
        <f>SUM(C14:C21)</f>
        <v>0</v>
      </c>
      <c r="D22" s="95" t="s">
        <v>626</v>
      </c>
      <c r="E22" s="90"/>
      <c r="F22" s="17">
        <f>SUM(F14:F21)</f>
        <v>0</v>
      </c>
      <c r="G22" s="95" t="s">
        <v>1247</v>
      </c>
      <c r="H22" s="90"/>
      <c r="I22" s="17">
        <f>SUM(I14:I21)</f>
        <v>0</v>
      </c>
    </row>
    <row r="23" spans="7:8" ht="15" customHeight="1">
      <c r="G23" s="85" t="s">
        <v>859</v>
      </c>
      <c r="H23" s="86"/>
    </row>
    <row r="25" spans="1:3" ht="15" customHeight="1">
      <c r="A25" s="97" t="s">
        <v>486</v>
      </c>
      <c r="B25" s="98"/>
      <c r="C25" s="55">
        <f>('Stavební rozpočet'!AS62+'Stavební rozpočet'!AS64+'Stavební rozpočet'!AS66+'Stavební rozpočet'!AS70+'Stavební rozpočet'!AS72+'Stavební rozpočet'!AS76+'Stavební rozpočet'!AS80)</f>
        <v>0</v>
      </c>
    </row>
    <row r="26" spans="1:9" ht="15" customHeight="1">
      <c r="A26" s="99" t="s">
        <v>30</v>
      </c>
      <c r="B26" s="100"/>
      <c r="C26" s="34">
        <f>('Stavební rozpočet'!AT62+'Stavební rozpočet'!AT64+'Stavební rozpočet'!AT66+'Stavební rozpočet'!AT70+'Stavební rozpočet'!AT72+'Stavební rozpočet'!AT76+'Stavební rozpočet'!AT80)</f>
        <v>0</v>
      </c>
      <c r="D26" s="98" t="s">
        <v>262</v>
      </c>
      <c r="E26" s="98"/>
      <c r="F26" s="55">
        <f>ROUND(C26*(15/100),2)</f>
        <v>0</v>
      </c>
      <c r="G26" s="98" t="s">
        <v>172</v>
      </c>
      <c r="H26" s="98"/>
      <c r="I26" s="55">
        <f>SUM(C25:C27)</f>
        <v>0</v>
      </c>
    </row>
    <row r="27" spans="1:9" ht="15" customHeight="1">
      <c r="A27" s="99" t="s">
        <v>58</v>
      </c>
      <c r="B27" s="100"/>
      <c r="C27" s="34">
        <f>('Stavební rozpočet'!AU62+'Stavební rozpočet'!AU64+'Stavební rozpočet'!AU66+'Stavební rozpočet'!AU70+'Stavební rozpočet'!AU72+'Stavební rozpočet'!AU76+'Stavební rozpočet'!AU80)</f>
        <v>0</v>
      </c>
      <c r="D27" s="100" t="s">
        <v>930</v>
      </c>
      <c r="E27" s="100"/>
      <c r="F27" s="34">
        <f>ROUND(C27*(21/100),2)</f>
        <v>0</v>
      </c>
      <c r="G27" s="100" t="s">
        <v>482</v>
      </c>
      <c r="H27" s="100"/>
      <c r="I27" s="34">
        <f>SUM(F26:F27)+I26</f>
        <v>0</v>
      </c>
    </row>
    <row r="29" spans="1:9" ht="15" customHeight="1">
      <c r="A29" s="101" t="s">
        <v>21</v>
      </c>
      <c r="B29" s="102"/>
      <c r="C29" s="103"/>
      <c r="D29" s="102" t="s">
        <v>1176</v>
      </c>
      <c r="E29" s="102"/>
      <c r="F29" s="103"/>
      <c r="G29" s="102" t="s">
        <v>846</v>
      </c>
      <c r="H29" s="102"/>
      <c r="I29" s="103"/>
    </row>
    <row r="30" spans="1:9" ht="15" customHeight="1">
      <c r="A30" s="104" t="s">
        <v>862</v>
      </c>
      <c r="B30" s="93"/>
      <c r="C30" s="105"/>
      <c r="D30" s="93" t="s">
        <v>862</v>
      </c>
      <c r="E30" s="93"/>
      <c r="F30" s="105"/>
      <c r="G30" s="93" t="s">
        <v>862</v>
      </c>
      <c r="H30" s="93"/>
      <c r="I30" s="105"/>
    </row>
    <row r="31" spans="1:9" ht="15" customHeight="1">
      <c r="A31" s="104" t="s">
        <v>862</v>
      </c>
      <c r="B31" s="93"/>
      <c r="C31" s="105"/>
      <c r="D31" s="93" t="s">
        <v>862</v>
      </c>
      <c r="E31" s="93"/>
      <c r="F31" s="105"/>
      <c r="G31" s="93" t="s">
        <v>862</v>
      </c>
      <c r="H31" s="93"/>
      <c r="I31" s="105"/>
    </row>
    <row r="32" spans="1:9" ht="15" customHeight="1">
      <c r="A32" s="104" t="s">
        <v>862</v>
      </c>
      <c r="B32" s="93"/>
      <c r="C32" s="105"/>
      <c r="D32" s="93" t="s">
        <v>862</v>
      </c>
      <c r="E32" s="93"/>
      <c r="F32" s="105"/>
      <c r="G32" s="93" t="s">
        <v>862</v>
      </c>
      <c r="H32" s="93"/>
      <c r="I32" s="105"/>
    </row>
    <row r="33" spans="1:9" ht="15" customHeight="1">
      <c r="A33" s="106" t="s">
        <v>227</v>
      </c>
      <c r="B33" s="107"/>
      <c r="C33" s="108"/>
      <c r="D33" s="107" t="s">
        <v>227</v>
      </c>
      <c r="E33" s="107"/>
      <c r="F33" s="108"/>
      <c r="G33" s="107" t="s">
        <v>227</v>
      </c>
      <c r="H33" s="107"/>
      <c r="I33" s="108"/>
    </row>
    <row r="34" ht="15" customHeight="1">
      <c r="A34" s="4" t="s">
        <v>106</v>
      </c>
    </row>
    <row r="35" spans="1:9" ht="12.75" customHeight="1">
      <c r="A35" s="64" t="s">
        <v>862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  <mergeCell ref="A33:C33"/>
    <mergeCell ref="D29:F29"/>
    <mergeCell ref="D30:F30"/>
    <mergeCell ref="D31:F31"/>
    <mergeCell ref="D32:F32"/>
    <mergeCell ref="D33:F33"/>
    <mergeCell ref="A26:B26"/>
    <mergeCell ref="A27:B27"/>
    <mergeCell ref="D26:E26"/>
    <mergeCell ref="D27:E27"/>
    <mergeCell ref="G26:H26"/>
    <mergeCell ref="G27:H27"/>
    <mergeCell ref="G19:H19"/>
    <mergeCell ref="G20:H20"/>
    <mergeCell ref="G21:H21"/>
    <mergeCell ref="G22:H22"/>
    <mergeCell ref="G23:H23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7" t="s">
        <v>549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8" t="s">
        <v>86</v>
      </c>
      <c r="B2" s="59"/>
      <c r="C2" s="65" t="str">
        <f>'Stavební rozpočet'!C2</f>
        <v>Stavební úprava ul. Sokolovská</v>
      </c>
      <c r="D2" s="66"/>
      <c r="E2" s="63" t="s">
        <v>1043</v>
      </c>
      <c r="F2" s="63" t="str">
        <f>'Stavební rozpočet'!K2</f>
        <v> </v>
      </c>
      <c r="G2" s="59"/>
      <c r="H2" s="63" t="s">
        <v>806</v>
      </c>
      <c r="I2" s="68" t="s">
        <v>862</v>
      </c>
    </row>
    <row r="3" spans="1:9" ht="15" customHeight="1">
      <c r="A3" s="60"/>
      <c r="B3" s="61"/>
      <c r="C3" s="67"/>
      <c r="D3" s="67"/>
      <c r="E3" s="61"/>
      <c r="F3" s="61"/>
      <c r="G3" s="61"/>
      <c r="H3" s="61"/>
      <c r="I3" s="69"/>
    </row>
    <row r="4" spans="1:9" ht="15" customHeight="1">
      <c r="A4" s="62" t="s">
        <v>674</v>
      </c>
      <c r="B4" s="61"/>
      <c r="C4" s="64" t="str">
        <f>'Stavební rozpočet'!C4</f>
        <v>Stavební úprava ulice včetně inž. sítí</v>
      </c>
      <c r="D4" s="61"/>
      <c r="E4" s="64" t="s">
        <v>858</v>
      </c>
      <c r="F4" s="64" t="str">
        <f>'Stavební rozpočet'!K4</f>
        <v>Bau-projekt spol s.r.o. Jan Hyliš</v>
      </c>
      <c r="G4" s="61"/>
      <c r="H4" s="64" t="s">
        <v>806</v>
      </c>
      <c r="I4" s="69" t="s">
        <v>192</v>
      </c>
    </row>
    <row r="5" spans="1:9" ht="15" customHeight="1">
      <c r="A5" s="60"/>
      <c r="B5" s="61"/>
      <c r="C5" s="61"/>
      <c r="D5" s="61"/>
      <c r="E5" s="61"/>
      <c r="F5" s="61"/>
      <c r="G5" s="61"/>
      <c r="H5" s="61"/>
      <c r="I5" s="69"/>
    </row>
    <row r="6" spans="1:9" ht="15" customHeight="1">
      <c r="A6" s="62" t="s">
        <v>109</v>
      </c>
      <c r="B6" s="61"/>
      <c r="C6" s="64" t="str">
        <f>'Stavební rozpočet'!C6</f>
        <v>Milevsko</v>
      </c>
      <c r="D6" s="61"/>
      <c r="E6" s="64" t="s">
        <v>1077</v>
      </c>
      <c r="F6" s="64" t="str">
        <f>'Stavební rozpočet'!K6</f>
        <v> </v>
      </c>
      <c r="G6" s="61"/>
      <c r="H6" s="64" t="s">
        <v>806</v>
      </c>
      <c r="I6" s="69" t="s">
        <v>862</v>
      </c>
    </row>
    <row r="7" spans="1:9" ht="15" customHeight="1">
      <c r="A7" s="60"/>
      <c r="B7" s="61"/>
      <c r="C7" s="61"/>
      <c r="D7" s="61"/>
      <c r="E7" s="61"/>
      <c r="F7" s="61"/>
      <c r="G7" s="61"/>
      <c r="H7" s="61"/>
      <c r="I7" s="69"/>
    </row>
    <row r="8" spans="1:9" ht="15" customHeight="1">
      <c r="A8" s="62" t="s">
        <v>1095</v>
      </c>
      <c r="B8" s="61"/>
      <c r="C8" s="64" t="str">
        <f>'Stavební rozpočet'!H4</f>
        <v>01.08.2023</v>
      </c>
      <c r="D8" s="61"/>
      <c r="E8" s="64" t="s">
        <v>389</v>
      </c>
      <c r="F8" s="64" t="str">
        <f>'Stavební rozpočet'!H6</f>
        <v>31.10.2024</v>
      </c>
      <c r="G8" s="61"/>
      <c r="H8" s="61" t="s">
        <v>1246</v>
      </c>
      <c r="I8" s="79">
        <v>93</v>
      </c>
    </row>
    <row r="9" spans="1:9" ht="15" customHeight="1">
      <c r="A9" s="60"/>
      <c r="B9" s="61"/>
      <c r="C9" s="61"/>
      <c r="D9" s="61"/>
      <c r="E9" s="61"/>
      <c r="F9" s="61"/>
      <c r="G9" s="61"/>
      <c r="H9" s="61"/>
      <c r="I9" s="69"/>
    </row>
    <row r="10" spans="1:9" ht="15" customHeight="1">
      <c r="A10" s="62" t="s">
        <v>592</v>
      </c>
      <c r="B10" s="61"/>
      <c r="C10" s="64" t="str">
        <f>'Stavební rozpočet'!C8</f>
        <v> </v>
      </c>
      <c r="D10" s="61"/>
      <c r="E10" s="64" t="s">
        <v>826</v>
      </c>
      <c r="F10" s="64" t="str">
        <f>'Stavební rozpočet'!K8</f>
        <v> </v>
      </c>
      <c r="G10" s="61"/>
      <c r="H10" s="61" t="s">
        <v>1205</v>
      </c>
      <c r="I10" s="80" t="str">
        <f>'Stavební rozpočet'!H8</f>
        <v>01.06.2023</v>
      </c>
    </row>
    <row r="11" spans="1:9" ht="15" customHeight="1">
      <c r="A11" s="78"/>
      <c r="B11" s="70"/>
      <c r="C11" s="70"/>
      <c r="D11" s="70"/>
      <c r="E11" s="70"/>
      <c r="F11" s="70"/>
      <c r="G11" s="70"/>
      <c r="H11" s="70"/>
      <c r="I11" s="81"/>
    </row>
    <row r="12" spans="1:9" ht="22.5" customHeight="1">
      <c r="A12" s="82" t="s">
        <v>200</v>
      </c>
      <c r="B12" s="82"/>
      <c r="C12" s="82"/>
      <c r="D12" s="82"/>
      <c r="E12" s="82"/>
      <c r="F12" s="82"/>
      <c r="G12" s="82"/>
      <c r="H12" s="82"/>
      <c r="I12" s="82"/>
    </row>
    <row r="13" spans="1:9" ht="26.25" customHeight="1">
      <c r="A13" s="9" t="s">
        <v>1106</v>
      </c>
      <c r="B13" s="83" t="s">
        <v>152</v>
      </c>
      <c r="C13" s="84"/>
      <c r="D13" s="41" t="s">
        <v>212</v>
      </c>
      <c r="E13" s="83" t="s">
        <v>437</v>
      </c>
      <c r="F13" s="84"/>
      <c r="G13" s="41" t="s">
        <v>791</v>
      </c>
      <c r="H13" s="83" t="s">
        <v>215</v>
      </c>
      <c r="I13" s="84"/>
    </row>
    <row r="14" spans="1:9" ht="15" customHeight="1">
      <c r="A14" s="16" t="s">
        <v>448</v>
      </c>
      <c r="B14" s="31" t="s">
        <v>304</v>
      </c>
      <c r="C14" s="40">
        <f>SUMIF('Stavební rozpočet'!AI12:AI615,"SO 301",'Stavební rozpočet'!AB12:AB615)</f>
        <v>0</v>
      </c>
      <c r="D14" s="91" t="s">
        <v>894</v>
      </c>
      <c r="E14" s="92"/>
      <c r="F14" s="40">
        <v>0</v>
      </c>
      <c r="G14" s="91" t="s">
        <v>126</v>
      </c>
      <c r="H14" s="92"/>
      <c r="I14" s="38" t="s">
        <v>645</v>
      </c>
    </row>
    <row r="15" spans="1:9" ht="15" customHeight="1">
      <c r="A15" s="1" t="s">
        <v>862</v>
      </c>
      <c r="B15" s="31" t="s">
        <v>224</v>
      </c>
      <c r="C15" s="40">
        <f>SUMIF('Stavební rozpočet'!AI12:AI615,"SO 301",'Stavební rozpočet'!AC12:AC615)</f>
        <v>0</v>
      </c>
      <c r="D15" s="91" t="s">
        <v>122</v>
      </c>
      <c r="E15" s="92"/>
      <c r="F15" s="40">
        <v>0</v>
      </c>
      <c r="G15" s="91" t="s">
        <v>989</v>
      </c>
      <c r="H15" s="92"/>
      <c r="I15" s="38" t="s">
        <v>645</v>
      </c>
    </row>
    <row r="16" spans="1:9" ht="15" customHeight="1">
      <c r="A16" s="16" t="s">
        <v>116</v>
      </c>
      <c r="B16" s="31" t="s">
        <v>304</v>
      </c>
      <c r="C16" s="40">
        <f>SUMIF('Stavební rozpočet'!AI12:AI615,"SO 301",'Stavební rozpočet'!AD12:AD615)</f>
        <v>0</v>
      </c>
      <c r="D16" s="91" t="s">
        <v>923</v>
      </c>
      <c r="E16" s="92"/>
      <c r="F16" s="40">
        <v>0</v>
      </c>
      <c r="G16" s="91" t="s">
        <v>1190</v>
      </c>
      <c r="H16" s="92"/>
      <c r="I16" s="38" t="s">
        <v>645</v>
      </c>
    </row>
    <row r="17" spans="1:9" ht="15" customHeight="1">
      <c r="A17" s="1" t="s">
        <v>862</v>
      </c>
      <c r="B17" s="31" t="s">
        <v>224</v>
      </c>
      <c r="C17" s="40">
        <f>SUMIF('Stavební rozpočet'!AI12:AI615,"SO 301",'Stavební rozpočet'!AE12:AE615)</f>
        <v>0</v>
      </c>
      <c r="D17" s="91" t="s">
        <v>862</v>
      </c>
      <c r="E17" s="92"/>
      <c r="F17" s="38" t="s">
        <v>862</v>
      </c>
      <c r="G17" s="91" t="s">
        <v>651</v>
      </c>
      <c r="H17" s="92"/>
      <c r="I17" s="38" t="s">
        <v>645</v>
      </c>
    </row>
    <row r="18" spans="1:9" ht="15" customHeight="1">
      <c r="A18" s="16" t="s">
        <v>371</v>
      </c>
      <c r="B18" s="31" t="s">
        <v>304</v>
      </c>
      <c r="C18" s="40">
        <f>SUMIF('Stavební rozpočet'!AI12:AI615,"SO 301",'Stavební rozpočet'!AF12:AF615)</f>
        <v>0</v>
      </c>
      <c r="D18" s="91" t="s">
        <v>862</v>
      </c>
      <c r="E18" s="92"/>
      <c r="F18" s="38" t="s">
        <v>862</v>
      </c>
      <c r="G18" s="91" t="s">
        <v>808</v>
      </c>
      <c r="H18" s="92"/>
      <c r="I18" s="38" t="s">
        <v>645</v>
      </c>
    </row>
    <row r="19" spans="1:9" ht="15" customHeight="1">
      <c r="A19" s="1" t="s">
        <v>862</v>
      </c>
      <c r="B19" s="31" t="s">
        <v>224</v>
      </c>
      <c r="C19" s="40">
        <f>SUMIF('Stavební rozpočet'!AI12:AI615,"SO 301",'Stavební rozpočet'!AG12:AG615)</f>
        <v>0</v>
      </c>
      <c r="D19" s="91" t="s">
        <v>862</v>
      </c>
      <c r="E19" s="92"/>
      <c r="F19" s="38" t="s">
        <v>862</v>
      </c>
      <c r="G19" s="91" t="s">
        <v>1224</v>
      </c>
      <c r="H19" s="92"/>
      <c r="I19" s="38" t="s">
        <v>645</v>
      </c>
    </row>
    <row r="20" spans="1:9" ht="15" customHeight="1">
      <c r="A20" s="85" t="s">
        <v>88</v>
      </c>
      <c r="B20" s="86"/>
      <c r="C20" s="40">
        <f>SUMIF('Stavební rozpočet'!AI12:AI615,"SO 301",'Stavební rozpočet'!AH12:AH615)</f>
        <v>0</v>
      </c>
      <c r="D20" s="91" t="s">
        <v>862</v>
      </c>
      <c r="E20" s="92"/>
      <c r="F20" s="38" t="s">
        <v>862</v>
      </c>
      <c r="G20" s="91" t="s">
        <v>862</v>
      </c>
      <c r="H20" s="92"/>
      <c r="I20" s="38" t="s">
        <v>862</v>
      </c>
    </row>
    <row r="21" spans="1:9" ht="15" customHeight="1">
      <c r="A21" s="87" t="s">
        <v>1223</v>
      </c>
      <c r="B21" s="88"/>
      <c r="C21" s="40">
        <f>SUMIF('Stavební rozpočet'!AI12:AI615,"SO 301",'Stavební rozpočet'!Z12:Z615)</f>
        <v>0</v>
      </c>
      <c r="D21" s="93" t="s">
        <v>862</v>
      </c>
      <c r="E21" s="94"/>
      <c r="F21" s="42" t="s">
        <v>862</v>
      </c>
      <c r="G21" s="93" t="s">
        <v>862</v>
      </c>
      <c r="H21" s="94"/>
      <c r="I21" s="42" t="s">
        <v>862</v>
      </c>
    </row>
    <row r="22" spans="1:9" ht="16.5" customHeight="1">
      <c r="A22" s="89" t="s">
        <v>231</v>
      </c>
      <c r="B22" s="90"/>
      <c r="C22" s="40">
        <f>SUM(C14:C21)</f>
        <v>0</v>
      </c>
      <c r="D22" s="95" t="s">
        <v>626</v>
      </c>
      <c r="E22" s="90"/>
      <c r="F22" s="17">
        <f>SUM(F14:F21)</f>
        <v>0</v>
      </c>
      <c r="G22" s="95" t="s">
        <v>1247</v>
      </c>
      <c r="H22" s="90"/>
      <c r="I22" s="17">
        <f>SUM(I14:I21)</f>
        <v>0</v>
      </c>
    </row>
    <row r="23" spans="7:8" ht="15" customHeight="1">
      <c r="G23" s="85" t="s">
        <v>859</v>
      </c>
      <c r="H23" s="86"/>
    </row>
    <row r="25" spans="1:3" ht="15" customHeight="1">
      <c r="A25" s="97" t="s">
        <v>486</v>
      </c>
      <c r="B25" s="98"/>
      <c r="C25" s="55">
        <f>('Stavební rozpočet'!AS84+'Stavební rozpočet'!AS94+'Stavební rozpočet'!AS96+'Stavební rozpočet'!AS101+'Stavební rozpočet'!AS104+'Stavební rozpočet'!AS109+'Stavební rozpočet'!AS112+'Stavební rozpočet'!AS115+'Stavební rozpočet'!AS118+'Stavební rozpočet'!AS120+'Stavební rozpočet'!AS123+'Stavební rozpočet'!AS130+'Stavební rozpočet'!AS132+'Stavební rozpočet'!AS142+'Stavební rozpočet'!AS178+'Stavební rozpočet'!AS180+'Stavební rozpočet'!AS183+'Stavební rozpočet'!AS186)</f>
        <v>0</v>
      </c>
    </row>
    <row r="26" spans="1:9" ht="15" customHeight="1">
      <c r="A26" s="99" t="s">
        <v>30</v>
      </c>
      <c r="B26" s="100"/>
      <c r="C26" s="34">
        <f>('Stavební rozpočet'!AT84+'Stavební rozpočet'!AT94+'Stavební rozpočet'!AT96+'Stavební rozpočet'!AT101+'Stavební rozpočet'!AT104+'Stavební rozpočet'!AT109+'Stavební rozpočet'!AT112+'Stavební rozpočet'!AT115+'Stavební rozpočet'!AT118+'Stavební rozpočet'!AT120+'Stavební rozpočet'!AT123+'Stavební rozpočet'!AT130+'Stavební rozpočet'!AT132+'Stavební rozpočet'!AT142+'Stavební rozpočet'!AT178+'Stavební rozpočet'!AT180+'Stavební rozpočet'!AT183+'Stavební rozpočet'!AT186)</f>
        <v>0</v>
      </c>
      <c r="D26" s="98" t="s">
        <v>262</v>
      </c>
      <c r="E26" s="98"/>
      <c r="F26" s="55">
        <f>ROUND(C26*(15/100),2)</f>
        <v>0</v>
      </c>
      <c r="G26" s="98" t="s">
        <v>172</v>
      </c>
      <c r="H26" s="98"/>
      <c r="I26" s="55">
        <f>SUM(C25:C27)</f>
        <v>0</v>
      </c>
    </row>
    <row r="27" spans="1:9" ht="15" customHeight="1">
      <c r="A27" s="99" t="s">
        <v>58</v>
      </c>
      <c r="B27" s="100"/>
      <c r="C27" s="34">
        <f>('Stavební rozpočet'!AU84+'Stavební rozpočet'!AU94+'Stavební rozpočet'!AU96+'Stavební rozpočet'!AU101+'Stavební rozpočet'!AU104+'Stavební rozpočet'!AU109+'Stavební rozpočet'!AU112+'Stavební rozpočet'!AU115+'Stavební rozpočet'!AU118+'Stavební rozpočet'!AU120+'Stavební rozpočet'!AU123+'Stavební rozpočet'!AU130+'Stavební rozpočet'!AU132+'Stavební rozpočet'!AU142+'Stavební rozpočet'!AU178+'Stavební rozpočet'!AU180+'Stavební rozpočet'!AU183+'Stavební rozpočet'!AU186)</f>
        <v>0</v>
      </c>
      <c r="D27" s="100" t="s">
        <v>930</v>
      </c>
      <c r="E27" s="100"/>
      <c r="F27" s="34">
        <f>ROUND(C27*(21/100),2)</f>
        <v>0</v>
      </c>
      <c r="G27" s="100" t="s">
        <v>482</v>
      </c>
      <c r="H27" s="100"/>
      <c r="I27" s="34">
        <f>SUM(F26:F27)+I26</f>
        <v>0</v>
      </c>
    </row>
    <row r="29" spans="1:9" ht="15" customHeight="1">
      <c r="A29" s="101" t="s">
        <v>21</v>
      </c>
      <c r="B29" s="102"/>
      <c r="C29" s="103"/>
      <c r="D29" s="102" t="s">
        <v>1176</v>
      </c>
      <c r="E29" s="102"/>
      <c r="F29" s="103"/>
      <c r="G29" s="102" t="s">
        <v>846</v>
      </c>
      <c r="H29" s="102"/>
      <c r="I29" s="103"/>
    </row>
    <row r="30" spans="1:9" ht="15" customHeight="1">
      <c r="A30" s="104" t="s">
        <v>862</v>
      </c>
      <c r="B30" s="93"/>
      <c r="C30" s="105"/>
      <c r="D30" s="93" t="s">
        <v>862</v>
      </c>
      <c r="E30" s="93"/>
      <c r="F30" s="105"/>
      <c r="G30" s="93" t="s">
        <v>862</v>
      </c>
      <c r="H30" s="93"/>
      <c r="I30" s="105"/>
    </row>
    <row r="31" spans="1:9" ht="15" customHeight="1">
      <c r="A31" s="104" t="s">
        <v>862</v>
      </c>
      <c r="B31" s="93"/>
      <c r="C31" s="105"/>
      <c r="D31" s="93" t="s">
        <v>862</v>
      </c>
      <c r="E31" s="93"/>
      <c r="F31" s="105"/>
      <c r="G31" s="93" t="s">
        <v>862</v>
      </c>
      <c r="H31" s="93"/>
      <c r="I31" s="105"/>
    </row>
    <row r="32" spans="1:9" ht="15" customHeight="1">
      <c r="A32" s="104" t="s">
        <v>862</v>
      </c>
      <c r="B32" s="93"/>
      <c r="C32" s="105"/>
      <c r="D32" s="93" t="s">
        <v>862</v>
      </c>
      <c r="E32" s="93"/>
      <c r="F32" s="105"/>
      <c r="G32" s="93" t="s">
        <v>862</v>
      </c>
      <c r="H32" s="93"/>
      <c r="I32" s="105"/>
    </row>
    <row r="33" spans="1:9" ht="15" customHeight="1">
      <c r="A33" s="106" t="s">
        <v>227</v>
      </c>
      <c r="B33" s="107"/>
      <c r="C33" s="108"/>
      <c r="D33" s="107" t="s">
        <v>227</v>
      </c>
      <c r="E33" s="107"/>
      <c r="F33" s="108"/>
      <c r="G33" s="107" t="s">
        <v>227</v>
      </c>
      <c r="H33" s="107"/>
      <c r="I33" s="108"/>
    </row>
    <row r="34" ht="15" customHeight="1">
      <c r="A34" s="4" t="s">
        <v>106</v>
      </c>
    </row>
    <row r="35" spans="1:9" ht="12.75" customHeight="1">
      <c r="A35" s="64" t="s">
        <v>862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  <mergeCell ref="A33:C33"/>
    <mergeCell ref="D29:F29"/>
    <mergeCell ref="D30:F30"/>
    <mergeCell ref="D31:F31"/>
    <mergeCell ref="D32:F32"/>
    <mergeCell ref="D33:F33"/>
    <mergeCell ref="A26:B26"/>
    <mergeCell ref="A27:B27"/>
    <mergeCell ref="D26:E26"/>
    <mergeCell ref="D27:E27"/>
    <mergeCell ref="G26:H26"/>
    <mergeCell ref="G27:H27"/>
    <mergeCell ref="G19:H19"/>
    <mergeCell ref="G20:H20"/>
    <mergeCell ref="G21:H21"/>
    <mergeCell ref="G22:H22"/>
    <mergeCell ref="G23:H23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7" t="s">
        <v>723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8" t="s">
        <v>86</v>
      </c>
      <c r="B2" s="59"/>
      <c r="C2" s="65" t="str">
        <f>'Stavební rozpočet'!C2</f>
        <v>Stavební úprava ul. Sokolovská</v>
      </c>
      <c r="D2" s="66"/>
      <c r="E2" s="63" t="s">
        <v>1043</v>
      </c>
      <c r="F2" s="63" t="str">
        <f>'Stavební rozpočet'!K2</f>
        <v> </v>
      </c>
      <c r="G2" s="59"/>
      <c r="H2" s="63" t="s">
        <v>806</v>
      </c>
      <c r="I2" s="68" t="s">
        <v>862</v>
      </c>
    </row>
    <row r="3" spans="1:9" ht="15" customHeight="1">
      <c r="A3" s="60"/>
      <c r="B3" s="61"/>
      <c r="C3" s="67"/>
      <c r="D3" s="67"/>
      <c r="E3" s="61"/>
      <c r="F3" s="61"/>
      <c r="G3" s="61"/>
      <c r="H3" s="61"/>
      <c r="I3" s="69"/>
    </row>
    <row r="4" spans="1:9" ht="15" customHeight="1">
      <c r="A4" s="62" t="s">
        <v>674</v>
      </c>
      <c r="B4" s="61"/>
      <c r="C4" s="64" t="str">
        <f>'Stavební rozpočet'!C4</f>
        <v>Stavební úprava ulice včetně inž. sítí</v>
      </c>
      <c r="D4" s="61"/>
      <c r="E4" s="64" t="s">
        <v>858</v>
      </c>
      <c r="F4" s="64" t="str">
        <f>'Stavební rozpočet'!K4</f>
        <v>Bau-projekt spol s.r.o. Jan Hyliš</v>
      </c>
      <c r="G4" s="61"/>
      <c r="H4" s="64" t="s">
        <v>806</v>
      </c>
      <c r="I4" s="69" t="s">
        <v>192</v>
      </c>
    </row>
    <row r="5" spans="1:9" ht="15" customHeight="1">
      <c r="A5" s="60"/>
      <c r="B5" s="61"/>
      <c r="C5" s="61"/>
      <c r="D5" s="61"/>
      <c r="E5" s="61"/>
      <c r="F5" s="61"/>
      <c r="G5" s="61"/>
      <c r="H5" s="61"/>
      <c r="I5" s="69"/>
    </row>
    <row r="6" spans="1:9" ht="15" customHeight="1">
      <c r="A6" s="62" t="s">
        <v>109</v>
      </c>
      <c r="B6" s="61"/>
      <c r="C6" s="64" t="str">
        <f>'Stavební rozpočet'!C6</f>
        <v>Milevsko</v>
      </c>
      <c r="D6" s="61"/>
      <c r="E6" s="64" t="s">
        <v>1077</v>
      </c>
      <c r="F6" s="64" t="str">
        <f>'Stavební rozpočet'!K6</f>
        <v> </v>
      </c>
      <c r="G6" s="61"/>
      <c r="H6" s="64" t="s">
        <v>806</v>
      </c>
      <c r="I6" s="69" t="s">
        <v>862</v>
      </c>
    </row>
    <row r="7" spans="1:9" ht="15" customHeight="1">
      <c r="A7" s="60"/>
      <c r="B7" s="61"/>
      <c r="C7" s="61"/>
      <c r="D7" s="61"/>
      <c r="E7" s="61"/>
      <c r="F7" s="61"/>
      <c r="G7" s="61"/>
      <c r="H7" s="61"/>
      <c r="I7" s="69"/>
    </row>
    <row r="8" spans="1:9" ht="15" customHeight="1">
      <c r="A8" s="62" t="s">
        <v>1095</v>
      </c>
      <c r="B8" s="61"/>
      <c r="C8" s="64" t="str">
        <f>'Stavební rozpočet'!H4</f>
        <v>01.08.2023</v>
      </c>
      <c r="D8" s="61"/>
      <c r="E8" s="64" t="s">
        <v>389</v>
      </c>
      <c r="F8" s="64" t="str">
        <f>'Stavební rozpočet'!H6</f>
        <v>31.10.2024</v>
      </c>
      <c r="G8" s="61"/>
      <c r="H8" s="61" t="s">
        <v>1246</v>
      </c>
      <c r="I8" s="79">
        <v>95</v>
      </c>
    </row>
    <row r="9" spans="1:9" ht="15" customHeight="1">
      <c r="A9" s="60"/>
      <c r="B9" s="61"/>
      <c r="C9" s="61"/>
      <c r="D9" s="61"/>
      <c r="E9" s="61"/>
      <c r="F9" s="61"/>
      <c r="G9" s="61"/>
      <c r="H9" s="61"/>
      <c r="I9" s="69"/>
    </row>
    <row r="10" spans="1:9" ht="15" customHeight="1">
      <c r="A10" s="62" t="s">
        <v>592</v>
      </c>
      <c r="B10" s="61"/>
      <c r="C10" s="64" t="str">
        <f>'Stavební rozpočet'!C8</f>
        <v> </v>
      </c>
      <c r="D10" s="61"/>
      <c r="E10" s="64" t="s">
        <v>826</v>
      </c>
      <c r="F10" s="64" t="str">
        <f>'Stavební rozpočet'!K8</f>
        <v> </v>
      </c>
      <c r="G10" s="61"/>
      <c r="H10" s="61" t="s">
        <v>1205</v>
      </c>
      <c r="I10" s="80" t="str">
        <f>'Stavební rozpočet'!H8</f>
        <v>01.06.2023</v>
      </c>
    </row>
    <row r="11" spans="1:9" ht="15" customHeight="1">
      <c r="A11" s="78"/>
      <c r="B11" s="70"/>
      <c r="C11" s="70"/>
      <c r="D11" s="70"/>
      <c r="E11" s="70"/>
      <c r="F11" s="70"/>
      <c r="G11" s="70"/>
      <c r="H11" s="70"/>
      <c r="I11" s="81"/>
    </row>
    <row r="12" spans="1:9" ht="22.5" customHeight="1">
      <c r="A12" s="82" t="s">
        <v>200</v>
      </c>
      <c r="B12" s="82"/>
      <c r="C12" s="82"/>
      <c r="D12" s="82"/>
      <c r="E12" s="82"/>
      <c r="F12" s="82"/>
      <c r="G12" s="82"/>
      <c r="H12" s="82"/>
      <c r="I12" s="82"/>
    </row>
    <row r="13" spans="1:9" ht="26.25" customHeight="1">
      <c r="A13" s="9" t="s">
        <v>1106</v>
      </c>
      <c r="B13" s="83" t="s">
        <v>152</v>
      </c>
      <c r="C13" s="84"/>
      <c r="D13" s="41" t="s">
        <v>212</v>
      </c>
      <c r="E13" s="83" t="s">
        <v>437</v>
      </c>
      <c r="F13" s="84"/>
      <c r="G13" s="41" t="s">
        <v>791</v>
      </c>
      <c r="H13" s="83" t="s">
        <v>215</v>
      </c>
      <c r="I13" s="84"/>
    </row>
    <row r="14" spans="1:9" ht="15" customHeight="1">
      <c r="A14" s="16" t="s">
        <v>448</v>
      </c>
      <c r="B14" s="31" t="s">
        <v>304</v>
      </c>
      <c r="C14" s="40">
        <f>SUMIF('Stavební rozpočet'!AI12:AI615,"SO 302",'Stavební rozpočet'!AB12:AB615)</f>
        <v>0</v>
      </c>
      <c r="D14" s="91" t="s">
        <v>894</v>
      </c>
      <c r="E14" s="92"/>
      <c r="F14" s="40">
        <v>0</v>
      </c>
      <c r="G14" s="91" t="s">
        <v>126</v>
      </c>
      <c r="H14" s="92"/>
      <c r="I14" s="38" t="s">
        <v>645</v>
      </c>
    </row>
    <row r="15" spans="1:9" ht="15" customHeight="1">
      <c r="A15" s="1" t="s">
        <v>862</v>
      </c>
      <c r="B15" s="31" t="s">
        <v>224</v>
      </c>
      <c r="C15" s="40">
        <f>SUMIF('Stavební rozpočet'!AI12:AI615,"SO 302",'Stavební rozpočet'!AC12:AC615)</f>
        <v>0</v>
      </c>
      <c r="D15" s="91" t="s">
        <v>122</v>
      </c>
      <c r="E15" s="92"/>
      <c r="F15" s="40">
        <v>0</v>
      </c>
      <c r="G15" s="91" t="s">
        <v>989</v>
      </c>
      <c r="H15" s="92"/>
      <c r="I15" s="38" t="s">
        <v>645</v>
      </c>
    </row>
    <row r="16" spans="1:9" ht="15" customHeight="1">
      <c r="A16" s="16" t="s">
        <v>116</v>
      </c>
      <c r="B16" s="31" t="s">
        <v>304</v>
      </c>
      <c r="C16" s="40">
        <f>SUMIF('Stavební rozpočet'!AI12:AI615,"SO 302",'Stavební rozpočet'!AD12:AD615)</f>
        <v>0</v>
      </c>
      <c r="D16" s="91" t="s">
        <v>923</v>
      </c>
      <c r="E16" s="92"/>
      <c r="F16" s="40">
        <v>0</v>
      </c>
      <c r="G16" s="91" t="s">
        <v>1190</v>
      </c>
      <c r="H16" s="92"/>
      <c r="I16" s="38" t="s">
        <v>645</v>
      </c>
    </row>
    <row r="17" spans="1:9" ht="15" customHeight="1">
      <c r="A17" s="1" t="s">
        <v>862</v>
      </c>
      <c r="B17" s="31" t="s">
        <v>224</v>
      </c>
      <c r="C17" s="40">
        <f>SUMIF('Stavební rozpočet'!AI12:AI615,"SO 302",'Stavební rozpočet'!AE12:AE615)</f>
        <v>0</v>
      </c>
      <c r="D17" s="91" t="s">
        <v>862</v>
      </c>
      <c r="E17" s="92"/>
      <c r="F17" s="38" t="s">
        <v>862</v>
      </c>
      <c r="G17" s="91" t="s">
        <v>651</v>
      </c>
      <c r="H17" s="92"/>
      <c r="I17" s="38" t="s">
        <v>645</v>
      </c>
    </row>
    <row r="18" spans="1:9" ht="15" customHeight="1">
      <c r="A18" s="16" t="s">
        <v>371</v>
      </c>
      <c r="B18" s="31" t="s">
        <v>304</v>
      </c>
      <c r="C18" s="40">
        <f>SUMIF('Stavební rozpočet'!AI12:AI615,"SO 302",'Stavební rozpočet'!AF12:AF615)</f>
        <v>0</v>
      </c>
      <c r="D18" s="91" t="s">
        <v>862</v>
      </c>
      <c r="E18" s="92"/>
      <c r="F18" s="38" t="s">
        <v>862</v>
      </c>
      <c r="G18" s="91" t="s">
        <v>808</v>
      </c>
      <c r="H18" s="92"/>
      <c r="I18" s="38" t="s">
        <v>645</v>
      </c>
    </row>
    <row r="19" spans="1:9" ht="15" customHeight="1">
      <c r="A19" s="1" t="s">
        <v>862</v>
      </c>
      <c r="B19" s="31" t="s">
        <v>224</v>
      </c>
      <c r="C19" s="40">
        <f>SUMIF('Stavební rozpočet'!AI12:AI615,"SO 302",'Stavební rozpočet'!AG12:AG615)</f>
        <v>0</v>
      </c>
      <c r="D19" s="91" t="s">
        <v>862</v>
      </c>
      <c r="E19" s="92"/>
      <c r="F19" s="38" t="s">
        <v>862</v>
      </c>
      <c r="G19" s="91" t="s">
        <v>1224</v>
      </c>
      <c r="H19" s="92"/>
      <c r="I19" s="38" t="s">
        <v>645</v>
      </c>
    </row>
    <row r="20" spans="1:9" ht="15" customHeight="1">
      <c r="A20" s="85" t="s">
        <v>88</v>
      </c>
      <c r="B20" s="86"/>
      <c r="C20" s="40">
        <f>SUMIF('Stavební rozpočet'!AI12:AI615,"SO 302",'Stavební rozpočet'!AH12:AH615)</f>
        <v>0</v>
      </c>
      <c r="D20" s="91" t="s">
        <v>862</v>
      </c>
      <c r="E20" s="92"/>
      <c r="F20" s="38" t="s">
        <v>862</v>
      </c>
      <c r="G20" s="91" t="s">
        <v>862</v>
      </c>
      <c r="H20" s="92"/>
      <c r="I20" s="38" t="s">
        <v>862</v>
      </c>
    </row>
    <row r="21" spans="1:9" ht="15" customHeight="1">
      <c r="A21" s="87" t="s">
        <v>1223</v>
      </c>
      <c r="B21" s="88"/>
      <c r="C21" s="40">
        <f>SUMIF('Stavební rozpočet'!AI12:AI615,"SO 302",'Stavební rozpočet'!Z12:Z615)</f>
        <v>0</v>
      </c>
      <c r="D21" s="93" t="s">
        <v>862</v>
      </c>
      <c r="E21" s="94"/>
      <c r="F21" s="42" t="s">
        <v>862</v>
      </c>
      <c r="G21" s="93" t="s">
        <v>862</v>
      </c>
      <c r="H21" s="94"/>
      <c r="I21" s="42" t="s">
        <v>862</v>
      </c>
    </row>
    <row r="22" spans="1:9" ht="16.5" customHeight="1">
      <c r="A22" s="89" t="s">
        <v>231</v>
      </c>
      <c r="B22" s="90"/>
      <c r="C22" s="40">
        <f>SUM(C14:C21)</f>
        <v>0</v>
      </c>
      <c r="D22" s="95" t="s">
        <v>626</v>
      </c>
      <c r="E22" s="90"/>
      <c r="F22" s="17">
        <f>SUM(F14:F21)</f>
        <v>0</v>
      </c>
      <c r="G22" s="95" t="s">
        <v>1247</v>
      </c>
      <c r="H22" s="90"/>
      <c r="I22" s="17">
        <f>SUM(I14:I21)</f>
        <v>0</v>
      </c>
    </row>
    <row r="23" spans="7:8" ht="15" customHeight="1">
      <c r="G23" s="85" t="s">
        <v>859</v>
      </c>
      <c r="H23" s="86"/>
    </row>
    <row r="25" spans="1:3" ht="15" customHeight="1">
      <c r="A25" s="97" t="s">
        <v>486</v>
      </c>
      <c r="B25" s="98"/>
      <c r="C25" s="55">
        <f>('Stavební rozpočet'!AS196+'Stavební rozpočet'!AS213+'Stavební rozpočet'!AS217+'Stavební rozpočet'!AS220+'Stavební rozpočet'!AS223+'Stavební rozpočet'!AS226+'Stavební rozpočet'!AS229+'Stavební rozpočet'!AS231+'Stavební rozpočet'!AS234+'Stavební rozpočet'!AS238+'Stavební rozpočet'!AS243+'Stavební rozpočet'!AS264+'Stavební rozpočet'!AS293+'Stavební rozpočet'!AS296+'Stavební rozpočet'!AS298)</f>
        <v>0</v>
      </c>
    </row>
    <row r="26" spans="1:9" ht="15" customHeight="1">
      <c r="A26" s="99" t="s">
        <v>30</v>
      </c>
      <c r="B26" s="100"/>
      <c r="C26" s="34">
        <f>('Stavební rozpočet'!AT196+'Stavební rozpočet'!AT213+'Stavební rozpočet'!AT217+'Stavební rozpočet'!AT220+'Stavební rozpočet'!AT223+'Stavební rozpočet'!AT226+'Stavební rozpočet'!AT229+'Stavební rozpočet'!AT231+'Stavební rozpočet'!AT234+'Stavební rozpočet'!AT238+'Stavební rozpočet'!AT243+'Stavební rozpočet'!AT264+'Stavební rozpočet'!AT293+'Stavební rozpočet'!AT296+'Stavební rozpočet'!AT298)</f>
        <v>0</v>
      </c>
      <c r="D26" s="98" t="s">
        <v>262</v>
      </c>
      <c r="E26" s="98"/>
      <c r="F26" s="55">
        <f>ROUND(C26*(15/100),2)</f>
        <v>0</v>
      </c>
      <c r="G26" s="98" t="s">
        <v>172</v>
      </c>
      <c r="H26" s="98"/>
      <c r="I26" s="55">
        <f>SUM(C25:C27)</f>
        <v>0</v>
      </c>
    </row>
    <row r="27" spans="1:9" ht="15" customHeight="1">
      <c r="A27" s="99" t="s">
        <v>58</v>
      </c>
      <c r="B27" s="100"/>
      <c r="C27" s="34">
        <f>('Stavební rozpočet'!AU196+'Stavební rozpočet'!AU213+'Stavební rozpočet'!AU217+'Stavební rozpočet'!AU220+'Stavební rozpočet'!AU223+'Stavební rozpočet'!AU226+'Stavební rozpočet'!AU229+'Stavební rozpočet'!AU231+'Stavební rozpočet'!AU234+'Stavební rozpočet'!AU238+'Stavební rozpočet'!AU243+'Stavební rozpočet'!AU264+'Stavební rozpočet'!AU293+'Stavební rozpočet'!AU296+'Stavební rozpočet'!AU298)</f>
        <v>0</v>
      </c>
      <c r="D27" s="100" t="s">
        <v>930</v>
      </c>
      <c r="E27" s="100"/>
      <c r="F27" s="34">
        <f>ROUND(C27*(21/100),2)</f>
        <v>0</v>
      </c>
      <c r="G27" s="100" t="s">
        <v>482</v>
      </c>
      <c r="H27" s="100"/>
      <c r="I27" s="34">
        <f>SUM(F26:F27)+I26</f>
        <v>0</v>
      </c>
    </row>
    <row r="29" spans="1:9" ht="15" customHeight="1">
      <c r="A29" s="101" t="s">
        <v>21</v>
      </c>
      <c r="B29" s="102"/>
      <c r="C29" s="103"/>
      <c r="D29" s="102" t="s">
        <v>1176</v>
      </c>
      <c r="E29" s="102"/>
      <c r="F29" s="103"/>
      <c r="G29" s="102" t="s">
        <v>846</v>
      </c>
      <c r="H29" s="102"/>
      <c r="I29" s="103"/>
    </row>
    <row r="30" spans="1:9" ht="15" customHeight="1">
      <c r="A30" s="104" t="s">
        <v>862</v>
      </c>
      <c r="B30" s="93"/>
      <c r="C30" s="105"/>
      <c r="D30" s="93" t="s">
        <v>862</v>
      </c>
      <c r="E30" s="93"/>
      <c r="F30" s="105"/>
      <c r="G30" s="93" t="s">
        <v>862</v>
      </c>
      <c r="H30" s="93"/>
      <c r="I30" s="105"/>
    </row>
    <row r="31" spans="1:9" ht="15" customHeight="1">
      <c r="A31" s="104" t="s">
        <v>862</v>
      </c>
      <c r="B31" s="93"/>
      <c r="C31" s="105"/>
      <c r="D31" s="93" t="s">
        <v>862</v>
      </c>
      <c r="E31" s="93"/>
      <c r="F31" s="105"/>
      <c r="G31" s="93" t="s">
        <v>862</v>
      </c>
      <c r="H31" s="93"/>
      <c r="I31" s="105"/>
    </row>
    <row r="32" spans="1:9" ht="15" customHeight="1">
      <c r="A32" s="104" t="s">
        <v>862</v>
      </c>
      <c r="B32" s="93"/>
      <c r="C32" s="105"/>
      <c r="D32" s="93" t="s">
        <v>862</v>
      </c>
      <c r="E32" s="93"/>
      <c r="F32" s="105"/>
      <c r="G32" s="93" t="s">
        <v>862</v>
      </c>
      <c r="H32" s="93"/>
      <c r="I32" s="105"/>
    </row>
    <row r="33" spans="1:9" ht="15" customHeight="1">
      <c r="A33" s="106" t="s">
        <v>227</v>
      </c>
      <c r="B33" s="107"/>
      <c r="C33" s="108"/>
      <c r="D33" s="107" t="s">
        <v>227</v>
      </c>
      <c r="E33" s="107"/>
      <c r="F33" s="108"/>
      <c r="G33" s="107" t="s">
        <v>227</v>
      </c>
      <c r="H33" s="107"/>
      <c r="I33" s="108"/>
    </row>
    <row r="34" ht="15" customHeight="1">
      <c r="A34" s="4" t="s">
        <v>106</v>
      </c>
    </row>
    <row r="35" spans="1:9" ht="12.75" customHeight="1">
      <c r="A35" s="64" t="s">
        <v>862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  <mergeCell ref="A33:C33"/>
    <mergeCell ref="D29:F29"/>
    <mergeCell ref="D30:F30"/>
    <mergeCell ref="D31:F31"/>
    <mergeCell ref="D32:F32"/>
    <mergeCell ref="D33:F33"/>
    <mergeCell ref="A26:B26"/>
    <mergeCell ref="A27:B27"/>
    <mergeCell ref="D26:E26"/>
    <mergeCell ref="D27:E27"/>
    <mergeCell ref="G26:H26"/>
    <mergeCell ref="G27:H27"/>
    <mergeCell ref="G19:H19"/>
    <mergeCell ref="G20:H20"/>
    <mergeCell ref="G21:H21"/>
    <mergeCell ref="G22:H22"/>
    <mergeCell ref="G23:H23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7" t="s">
        <v>1309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8" t="s">
        <v>86</v>
      </c>
      <c r="B2" s="59"/>
      <c r="C2" s="65" t="str">
        <f>'Stavební rozpočet'!C2</f>
        <v>Stavební úprava ul. Sokolovská</v>
      </c>
      <c r="D2" s="66"/>
      <c r="E2" s="63" t="s">
        <v>1043</v>
      </c>
      <c r="F2" s="63" t="str">
        <f>'Stavební rozpočet'!K2</f>
        <v> </v>
      </c>
      <c r="G2" s="59"/>
      <c r="H2" s="63" t="s">
        <v>806</v>
      </c>
      <c r="I2" s="68" t="s">
        <v>862</v>
      </c>
    </row>
    <row r="3" spans="1:9" ht="15" customHeight="1">
      <c r="A3" s="60"/>
      <c r="B3" s="61"/>
      <c r="C3" s="67"/>
      <c r="D3" s="67"/>
      <c r="E3" s="61"/>
      <c r="F3" s="61"/>
      <c r="G3" s="61"/>
      <c r="H3" s="61"/>
      <c r="I3" s="69"/>
    </row>
    <row r="4" spans="1:9" ht="15" customHeight="1">
      <c r="A4" s="62" t="s">
        <v>674</v>
      </c>
      <c r="B4" s="61"/>
      <c r="C4" s="64" t="str">
        <f>'Stavební rozpočet'!C4</f>
        <v>Stavební úprava ulice včetně inž. sítí</v>
      </c>
      <c r="D4" s="61"/>
      <c r="E4" s="64" t="s">
        <v>858</v>
      </c>
      <c r="F4" s="64" t="str">
        <f>'Stavební rozpočet'!K4</f>
        <v>Bau-projekt spol s.r.o. Jan Hyliš</v>
      </c>
      <c r="G4" s="61"/>
      <c r="H4" s="64" t="s">
        <v>806</v>
      </c>
      <c r="I4" s="69" t="s">
        <v>192</v>
      </c>
    </row>
    <row r="5" spans="1:9" ht="15" customHeight="1">
      <c r="A5" s="60"/>
      <c r="B5" s="61"/>
      <c r="C5" s="61"/>
      <c r="D5" s="61"/>
      <c r="E5" s="61"/>
      <c r="F5" s="61"/>
      <c r="G5" s="61"/>
      <c r="H5" s="61"/>
      <c r="I5" s="69"/>
    </row>
    <row r="6" spans="1:9" ht="15" customHeight="1">
      <c r="A6" s="62" t="s">
        <v>109</v>
      </c>
      <c r="B6" s="61"/>
      <c r="C6" s="64" t="str">
        <f>'Stavební rozpočet'!C6</f>
        <v>Milevsko</v>
      </c>
      <c r="D6" s="61"/>
      <c r="E6" s="64" t="s">
        <v>1077</v>
      </c>
      <c r="F6" s="64" t="str">
        <f>'Stavební rozpočet'!K6</f>
        <v> </v>
      </c>
      <c r="G6" s="61"/>
      <c r="H6" s="64" t="s">
        <v>806</v>
      </c>
      <c r="I6" s="69" t="s">
        <v>862</v>
      </c>
    </row>
    <row r="7" spans="1:9" ht="15" customHeight="1">
      <c r="A7" s="60"/>
      <c r="B7" s="61"/>
      <c r="C7" s="61"/>
      <c r="D7" s="61"/>
      <c r="E7" s="61"/>
      <c r="F7" s="61"/>
      <c r="G7" s="61"/>
      <c r="H7" s="61"/>
      <c r="I7" s="69"/>
    </row>
    <row r="8" spans="1:9" ht="15" customHeight="1">
      <c r="A8" s="62" t="s">
        <v>1095</v>
      </c>
      <c r="B8" s="61"/>
      <c r="C8" s="64" t="str">
        <f>'Stavební rozpočet'!H4</f>
        <v>01.08.2023</v>
      </c>
      <c r="D8" s="61"/>
      <c r="E8" s="64" t="s">
        <v>389</v>
      </c>
      <c r="F8" s="64" t="str">
        <f>'Stavební rozpočet'!H6</f>
        <v>31.10.2024</v>
      </c>
      <c r="G8" s="61"/>
      <c r="H8" s="61" t="s">
        <v>1246</v>
      </c>
      <c r="I8" s="79">
        <v>32</v>
      </c>
    </row>
    <row r="9" spans="1:9" ht="15" customHeight="1">
      <c r="A9" s="60"/>
      <c r="B9" s="61"/>
      <c r="C9" s="61"/>
      <c r="D9" s="61"/>
      <c r="E9" s="61"/>
      <c r="F9" s="61"/>
      <c r="G9" s="61"/>
      <c r="H9" s="61"/>
      <c r="I9" s="69"/>
    </row>
    <row r="10" spans="1:9" ht="15" customHeight="1">
      <c r="A10" s="62" t="s">
        <v>592</v>
      </c>
      <c r="B10" s="61"/>
      <c r="C10" s="64" t="str">
        <f>'Stavební rozpočet'!C8</f>
        <v> </v>
      </c>
      <c r="D10" s="61"/>
      <c r="E10" s="64" t="s">
        <v>826</v>
      </c>
      <c r="F10" s="64" t="str">
        <f>'Stavební rozpočet'!K8</f>
        <v> </v>
      </c>
      <c r="G10" s="61"/>
      <c r="H10" s="61" t="s">
        <v>1205</v>
      </c>
      <c r="I10" s="80" t="str">
        <f>'Stavební rozpočet'!H8</f>
        <v>01.06.2023</v>
      </c>
    </row>
    <row r="11" spans="1:9" ht="15" customHeight="1">
      <c r="A11" s="78"/>
      <c r="B11" s="70"/>
      <c r="C11" s="70"/>
      <c r="D11" s="70"/>
      <c r="E11" s="70"/>
      <c r="F11" s="70"/>
      <c r="G11" s="70"/>
      <c r="H11" s="70"/>
      <c r="I11" s="81"/>
    </row>
    <row r="12" spans="1:9" ht="22.5" customHeight="1">
      <c r="A12" s="82" t="s">
        <v>200</v>
      </c>
      <c r="B12" s="82"/>
      <c r="C12" s="82"/>
      <c r="D12" s="82"/>
      <c r="E12" s="82"/>
      <c r="F12" s="82"/>
      <c r="G12" s="82"/>
      <c r="H12" s="82"/>
      <c r="I12" s="82"/>
    </row>
    <row r="13" spans="1:9" ht="26.25" customHeight="1">
      <c r="A13" s="9" t="s">
        <v>1106</v>
      </c>
      <c r="B13" s="83" t="s">
        <v>152</v>
      </c>
      <c r="C13" s="84"/>
      <c r="D13" s="41" t="s">
        <v>212</v>
      </c>
      <c r="E13" s="83" t="s">
        <v>437</v>
      </c>
      <c r="F13" s="84"/>
      <c r="G13" s="41" t="s">
        <v>791</v>
      </c>
      <c r="H13" s="83" t="s">
        <v>215</v>
      </c>
      <c r="I13" s="84"/>
    </row>
    <row r="14" spans="1:9" ht="15" customHeight="1">
      <c r="A14" s="16" t="s">
        <v>448</v>
      </c>
      <c r="B14" s="31" t="s">
        <v>304</v>
      </c>
      <c r="C14" s="40">
        <f>SUMIF('Stavební rozpočet'!AI12:AI615,"SO 303",'Stavební rozpočet'!AB12:AB615)</f>
        <v>0</v>
      </c>
      <c r="D14" s="91" t="s">
        <v>894</v>
      </c>
      <c r="E14" s="92"/>
      <c r="F14" s="40">
        <v>0</v>
      </c>
      <c r="G14" s="91" t="s">
        <v>126</v>
      </c>
      <c r="H14" s="92"/>
      <c r="I14" s="38" t="s">
        <v>645</v>
      </c>
    </row>
    <row r="15" spans="1:9" ht="15" customHeight="1">
      <c r="A15" s="1" t="s">
        <v>862</v>
      </c>
      <c r="B15" s="31" t="s">
        <v>224</v>
      </c>
      <c r="C15" s="40">
        <f>SUMIF('Stavební rozpočet'!AI12:AI615,"SO 303",'Stavební rozpočet'!AC12:AC615)</f>
        <v>0</v>
      </c>
      <c r="D15" s="91" t="s">
        <v>122</v>
      </c>
      <c r="E15" s="92"/>
      <c r="F15" s="40">
        <v>0</v>
      </c>
      <c r="G15" s="91" t="s">
        <v>989</v>
      </c>
      <c r="H15" s="92"/>
      <c r="I15" s="38" t="s">
        <v>645</v>
      </c>
    </row>
    <row r="16" spans="1:9" ht="15" customHeight="1">
      <c r="A16" s="16" t="s">
        <v>116</v>
      </c>
      <c r="B16" s="31" t="s">
        <v>304</v>
      </c>
      <c r="C16" s="40">
        <f>SUMIF('Stavební rozpočet'!AI12:AI615,"SO 303",'Stavební rozpočet'!AD12:AD615)</f>
        <v>0</v>
      </c>
      <c r="D16" s="91" t="s">
        <v>923</v>
      </c>
      <c r="E16" s="92"/>
      <c r="F16" s="40">
        <v>0</v>
      </c>
      <c r="G16" s="91" t="s">
        <v>1190</v>
      </c>
      <c r="H16" s="92"/>
      <c r="I16" s="38" t="s">
        <v>645</v>
      </c>
    </row>
    <row r="17" spans="1:9" ht="15" customHeight="1">
      <c r="A17" s="1" t="s">
        <v>862</v>
      </c>
      <c r="B17" s="31" t="s">
        <v>224</v>
      </c>
      <c r="C17" s="40">
        <f>SUMIF('Stavební rozpočet'!AI12:AI615,"SO 303",'Stavební rozpočet'!AE12:AE615)</f>
        <v>0</v>
      </c>
      <c r="D17" s="91" t="s">
        <v>862</v>
      </c>
      <c r="E17" s="92"/>
      <c r="F17" s="38" t="s">
        <v>862</v>
      </c>
      <c r="G17" s="91" t="s">
        <v>651</v>
      </c>
      <c r="H17" s="92"/>
      <c r="I17" s="38" t="s">
        <v>645</v>
      </c>
    </row>
    <row r="18" spans="1:9" ht="15" customHeight="1">
      <c r="A18" s="16" t="s">
        <v>371</v>
      </c>
      <c r="B18" s="31" t="s">
        <v>304</v>
      </c>
      <c r="C18" s="40">
        <f>SUMIF('Stavební rozpočet'!AI12:AI615,"SO 303",'Stavební rozpočet'!AF12:AF615)</f>
        <v>0</v>
      </c>
      <c r="D18" s="91" t="s">
        <v>862</v>
      </c>
      <c r="E18" s="92"/>
      <c r="F18" s="38" t="s">
        <v>862</v>
      </c>
      <c r="G18" s="91" t="s">
        <v>808</v>
      </c>
      <c r="H18" s="92"/>
      <c r="I18" s="38" t="s">
        <v>645</v>
      </c>
    </row>
    <row r="19" spans="1:9" ht="15" customHeight="1">
      <c r="A19" s="1" t="s">
        <v>862</v>
      </c>
      <c r="B19" s="31" t="s">
        <v>224</v>
      </c>
      <c r="C19" s="40">
        <f>SUMIF('Stavební rozpočet'!AI12:AI615,"SO 303",'Stavební rozpočet'!AG12:AG615)</f>
        <v>0</v>
      </c>
      <c r="D19" s="91" t="s">
        <v>862</v>
      </c>
      <c r="E19" s="92"/>
      <c r="F19" s="38" t="s">
        <v>862</v>
      </c>
      <c r="G19" s="91" t="s">
        <v>1224</v>
      </c>
      <c r="H19" s="92"/>
      <c r="I19" s="38" t="s">
        <v>645</v>
      </c>
    </row>
    <row r="20" spans="1:9" ht="15" customHeight="1">
      <c r="A20" s="85" t="s">
        <v>88</v>
      </c>
      <c r="B20" s="86"/>
      <c r="C20" s="40">
        <f>SUMIF('Stavební rozpočet'!AI12:AI615,"SO 303",'Stavební rozpočet'!AH12:AH615)</f>
        <v>0</v>
      </c>
      <c r="D20" s="91" t="s">
        <v>862</v>
      </c>
      <c r="E20" s="92"/>
      <c r="F20" s="38" t="s">
        <v>862</v>
      </c>
      <c r="G20" s="91" t="s">
        <v>862</v>
      </c>
      <c r="H20" s="92"/>
      <c r="I20" s="38" t="s">
        <v>862</v>
      </c>
    </row>
    <row r="21" spans="1:9" ht="15" customHeight="1">
      <c r="A21" s="87" t="s">
        <v>1223</v>
      </c>
      <c r="B21" s="88"/>
      <c r="C21" s="40">
        <f>SUMIF('Stavební rozpočet'!AI12:AI615,"SO 303",'Stavební rozpočet'!Z12:Z615)</f>
        <v>0</v>
      </c>
      <c r="D21" s="93" t="s">
        <v>862</v>
      </c>
      <c r="E21" s="94"/>
      <c r="F21" s="42" t="s">
        <v>862</v>
      </c>
      <c r="G21" s="93" t="s">
        <v>862</v>
      </c>
      <c r="H21" s="94"/>
      <c r="I21" s="42" t="s">
        <v>862</v>
      </c>
    </row>
    <row r="22" spans="1:9" ht="16.5" customHeight="1">
      <c r="A22" s="89" t="s">
        <v>231</v>
      </c>
      <c r="B22" s="90"/>
      <c r="C22" s="40">
        <f>SUM(C14:C21)</f>
        <v>0</v>
      </c>
      <c r="D22" s="95" t="s">
        <v>626</v>
      </c>
      <c r="E22" s="90"/>
      <c r="F22" s="17">
        <f>SUM(F14:F21)</f>
        <v>0</v>
      </c>
      <c r="G22" s="95" t="s">
        <v>1247</v>
      </c>
      <c r="H22" s="90"/>
      <c r="I22" s="17">
        <f>SUM(I14:I21)</f>
        <v>0</v>
      </c>
    </row>
    <row r="23" spans="7:8" ht="15" customHeight="1">
      <c r="G23" s="85" t="s">
        <v>859</v>
      </c>
      <c r="H23" s="86"/>
    </row>
    <row r="25" spans="1:3" ht="15" customHeight="1">
      <c r="A25" s="97" t="s">
        <v>486</v>
      </c>
      <c r="B25" s="98"/>
      <c r="C25" s="55">
        <f>('Stavební rozpočet'!AS307+'Stavební rozpočet'!AS320+'Stavební rozpočet'!AS323+'Stavební rozpočet'!AS326+'Stavební rozpočet'!AS329+'Stavební rozpočet'!AS332+'Stavební rozpočet'!AS334+'Stavební rozpočet'!AS336+'Stavební rozpočet'!AS342+'Stavební rozpočet'!AS346)</f>
        <v>0</v>
      </c>
    </row>
    <row r="26" spans="1:9" ht="15" customHeight="1">
      <c r="A26" s="99" t="s">
        <v>30</v>
      </c>
      <c r="B26" s="100"/>
      <c r="C26" s="34">
        <f>('Stavební rozpočet'!AT307+'Stavební rozpočet'!AT320+'Stavební rozpočet'!AT323+'Stavební rozpočet'!AT326+'Stavební rozpočet'!AT329+'Stavební rozpočet'!AT332+'Stavební rozpočet'!AT334+'Stavební rozpočet'!AT336+'Stavební rozpočet'!AT342+'Stavební rozpočet'!AT346)</f>
        <v>0</v>
      </c>
      <c r="D26" s="98" t="s">
        <v>262</v>
      </c>
      <c r="E26" s="98"/>
      <c r="F26" s="55">
        <f>ROUND(C26*(15/100),2)</f>
        <v>0</v>
      </c>
      <c r="G26" s="98" t="s">
        <v>172</v>
      </c>
      <c r="H26" s="98"/>
      <c r="I26" s="55">
        <f>SUM(C25:C27)</f>
        <v>0</v>
      </c>
    </row>
    <row r="27" spans="1:9" ht="15" customHeight="1">
      <c r="A27" s="99" t="s">
        <v>58</v>
      </c>
      <c r="B27" s="100"/>
      <c r="C27" s="34">
        <f>('Stavební rozpočet'!AU307+'Stavební rozpočet'!AU320+'Stavební rozpočet'!AU323+'Stavební rozpočet'!AU326+'Stavební rozpočet'!AU329+'Stavební rozpočet'!AU332+'Stavební rozpočet'!AU334+'Stavební rozpočet'!AU336+'Stavební rozpočet'!AU342+'Stavební rozpočet'!AU346)</f>
        <v>0</v>
      </c>
      <c r="D27" s="100" t="s">
        <v>930</v>
      </c>
      <c r="E27" s="100"/>
      <c r="F27" s="34">
        <f>ROUND(C27*(21/100),2)</f>
        <v>0</v>
      </c>
      <c r="G27" s="100" t="s">
        <v>482</v>
      </c>
      <c r="H27" s="100"/>
      <c r="I27" s="34">
        <f>SUM(F26:F27)+I26</f>
        <v>0</v>
      </c>
    </row>
    <row r="29" spans="1:9" ht="15" customHeight="1">
      <c r="A29" s="101" t="s">
        <v>21</v>
      </c>
      <c r="B29" s="102"/>
      <c r="C29" s="103"/>
      <c r="D29" s="102" t="s">
        <v>1176</v>
      </c>
      <c r="E29" s="102"/>
      <c r="F29" s="103"/>
      <c r="G29" s="102" t="s">
        <v>846</v>
      </c>
      <c r="H29" s="102"/>
      <c r="I29" s="103"/>
    </row>
    <row r="30" spans="1:9" ht="15" customHeight="1">
      <c r="A30" s="104" t="s">
        <v>862</v>
      </c>
      <c r="B30" s="93"/>
      <c r="C30" s="105"/>
      <c r="D30" s="93" t="s">
        <v>862</v>
      </c>
      <c r="E30" s="93"/>
      <c r="F30" s="105"/>
      <c r="G30" s="93" t="s">
        <v>862</v>
      </c>
      <c r="H30" s="93"/>
      <c r="I30" s="105"/>
    </row>
    <row r="31" spans="1:9" ht="15" customHeight="1">
      <c r="A31" s="104" t="s">
        <v>862</v>
      </c>
      <c r="B31" s="93"/>
      <c r="C31" s="105"/>
      <c r="D31" s="93" t="s">
        <v>862</v>
      </c>
      <c r="E31" s="93"/>
      <c r="F31" s="105"/>
      <c r="G31" s="93" t="s">
        <v>862</v>
      </c>
      <c r="H31" s="93"/>
      <c r="I31" s="105"/>
    </row>
    <row r="32" spans="1:9" ht="15" customHeight="1">
      <c r="A32" s="104" t="s">
        <v>862</v>
      </c>
      <c r="B32" s="93"/>
      <c r="C32" s="105"/>
      <c r="D32" s="93" t="s">
        <v>862</v>
      </c>
      <c r="E32" s="93"/>
      <c r="F32" s="105"/>
      <c r="G32" s="93" t="s">
        <v>862</v>
      </c>
      <c r="H32" s="93"/>
      <c r="I32" s="105"/>
    </row>
    <row r="33" spans="1:9" ht="15" customHeight="1">
      <c r="A33" s="106" t="s">
        <v>227</v>
      </c>
      <c r="B33" s="107"/>
      <c r="C33" s="108"/>
      <c r="D33" s="107" t="s">
        <v>227</v>
      </c>
      <c r="E33" s="107"/>
      <c r="F33" s="108"/>
      <c r="G33" s="107" t="s">
        <v>227</v>
      </c>
      <c r="H33" s="107"/>
      <c r="I33" s="108"/>
    </row>
    <row r="34" ht="15" customHeight="1">
      <c r="A34" s="4" t="s">
        <v>106</v>
      </c>
    </row>
    <row r="35" spans="1:9" ht="12.75" customHeight="1">
      <c r="A35" s="64" t="s">
        <v>862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  <mergeCell ref="A33:C33"/>
    <mergeCell ref="D29:F29"/>
    <mergeCell ref="D30:F30"/>
    <mergeCell ref="D31:F31"/>
    <mergeCell ref="D32:F32"/>
    <mergeCell ref="D33:F33"/>
    <mergeCell ref="A26:B26"/>
    <mergeCell ref="A27:B27"/>
    <mergeCell ref="D26:E26"/>
    <mergeCell ref="D27:E27"/>
    <mergeCell ref="G26:H26"/>
    <mergeCell ref="G27:H27"/>
    <mergeCell ref="G19:H19"/>
    <mergeCell ref="G20:H20"/>
    <mergeCell ref="G21:H21"/>
    <mergeCell ref="G22:H22"/>
    <mergeCell ref="G23:H23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OutlineSymbols="0" zoomScalePageLayoutView="0" workbookViewId="0" topLeftCell="A1">
      <selection activeCell="A35" sqref="A35:I3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7" t="s">
        <v>798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8" t="s">
        <v>86</v>
      </c>
      <c r="B2" s="59"/>
      <c r="C2" s="65" t="str">
        <f>'Stavební rozpočet'!C2</f>
        <v>Stavební úprava ul. Sokolovská</v>
      </c>
      <c r="D2" s="66"/>
      <c r="E2" s="63" t="s">
        <v>1043</v>
      </c>
      <c r="F2" s="63" t="str">
        <f>'Stavební rozpočet'!K2</f>
        <v> </v>
      </c>
      <c r="G2" s="59"/>
      <c r="H2" s="63" t="s">
        <v>806</v>
      </c>
      <c r="I2" s="68" t="s">
        <v>862</v>
      </c>
    </row>
    <row r="3" spans="1:9" ht="15" customHeight="1">
      <c r="A3" s="60"/>
      <c r="B3" s="61"/>
      <c r="C3" s="67"/>
      <c r="D3" s="67"/>
      <c r="E3" s="61"/>
      <c r="F3" s="61"/>
      <c r="G3" s="61"/>
      <c r="H3" s="61"/>
      <c r="I3" s="69"/>
    </row>
    <row r="4" spans="1:9" ht="15" customHeight="1">
      <c r="A4" s="62" t="s">
        <v>674</v>
      </c>
      <c r="B4" s="61"/>
      <c r="C4" s="64" t="str">
        <f>'Stavební rozpočet'!C4</f>
        <v>Stavební úprava ulice včetně inž. sítí</v>
      </c>
      <c r="D4" s="61"/>
      <c r="E4" s="64" t="s">
        <v>858</v>
      </c>
      <c r="F4" s="64" t="str">
        <f>'Stavební rozpočet'!K4</f>
        <v>Bau-projekt spol s.r.o. Jan Hyliš</v>
      </c>
      <c r="G4" s="61"/>
      <c r="H4" s="64" t="s">
        <v>806</v>
      </c>
      <c r="I4" s="69" t="s">
        <v>192</v>
      </c>
    </row>
    <row r="5" spans="1:9" ht="15" customHeight="1">
      <c r="A5" s="60"/>
      <c r="B5" s="61"/>
      <c r="C5" s="61"/>
      <c r="D5" s="61"/>
      <c r="E5" s="61"/>
      <c r="F5" s="61"/>
      <c r="G5" s="61"/>
      <c r="H5" s="61"/>
      <c r="I5" s="69"/>
    </row>
    <row r="6" spans="1:9" ht="15" customHeight="1">
      <c r="A6" s="62" t="s">
        <v>109</v>
      </c>
      <c r="B6" s="61"/>
      <c r="C6" s="64" t="str">
        <f>'Stavební rozpočet'!C6</f>
        <v>Milevsko</v>
      </c>
      <c r="D6" s="61"/>
      <c r="E6" s="64" t="s">
        <v>1077</v>
      </c>
      <c r="F6" s="64" t="str">
        <f>'Stavební rozpočet'!K6</f>
        <v> </v>
      </c>
      <c r="G6" s="61"/>
      <c r="H6" s="64" t="s">
        <v>806</v>
      </c>
      <c r="I6" s="69" t="s">
        <v>862</v>
      </c>
    </row>
    <row r="7" spans="1:9" ht="15" customHeight="1">
      <c r="A7" s="60"/>
      <c r="B7" s="61"/>
      <c r="C7" s="61"/>
      <c r="D7" s="61"/>
      <c r="E7" s="61"/>
      <c r="F7" s="61"/>
      <c r="G7" s="61"/>
      <c r="H7" s="61"/>
      <c r="I7" s="69"/>
    </row>
    <row r="8" spans="1:9" ht="15" customHeight="1">
      <c r="A8" s="62" t="s">
        <v>1095</v>
      </c>
      <c r="B8" s="61"/>
      <c r="C8" s="64" t="str">
        <f>'Stavební rozpočet'!H4</f>
        <v>01.08.2023</v>
      </c>
      <c r="D8" s="61"/>
      <c r="E8" s="64" t="s">
        <v>389</v>
      </c>
      <c r="F8" s="64" t="str">
        <f>'Stavební rozpočet'!H6</f>
        <v>31.10.2024</v>
      </c>
      <c r="G8" s="61"/>
      <c r="H8" s="61" t="s">
        <v>1246</v>
      </c>
      <c r="I8" s="79">
        <v>69</v>
      </c>
    </row>
    <row r="9" spans="1:9" ht="15" customHeight="1">
      <c r="A9" s="60"/>
      <c r="B9" s="61"/>
      <c r="C9" s="61"/>
      <c r="D9" s="61"/>
      <c r="E9" s="61"/>
      <c r="F9" s="61"/>
      <c r="G9" s="61"/>
      <c r="H9" s="61"/>
      <c r="I9" s="69"/>
    </row>
    <row r="10" spans="1:9" ht="15" customHeight="1">
      <c r="A10" s="62" t="s">
        <v>592</v>
      </c>
      <c r="B10" s="61"/>
      <c r="C10" s="64" t="str">
        <f>'Stavební rozpočet'!C8</f>
        <v> </v>
      </c>
      <c r="D10" s="61"/>
      <c r="E10" s="64" t="s">
        <v>826</v>
      </c>
      <c r="F10" s="64" t="str">
        <f>'Stavební rozpočet'!K8</f>
        <v> </v>
      </c>
      <c r="G10" s="61"/>
      <c r="H10" s="61" t="s">
        <v>1205</v>
      </c>
      <c r="I10" s="80" t="str">
        <f>'Stavební rozpočet'!H8</f>
        <v>01.06.2023</v>
      </c>
    </row>
    <row r="11" spans="1:9" ht="15" customHeight="1">
      <c r="A11" s="78"/>
      <c r="B11" s="70"/>
      <c r="C11" s="70"/>
      <c r="D11" s="70"/>
      <c r="E11" s="70"/>
      <c r="F11" s="70"/>
      <c r="G11" s="70"/>
      <c r="H11" s="70"/>
      <c r="I11" s="81"/>
    </row>
    <row r="12" spans="1:9" ht="22.5" customHeight="1">
      <c r="A12" s="82" t="s">
        <v>200</v>
      </c>
      <c r="B12" s="82"/>
      <c r="C12" s="82"/>
      <c r="D12" s="82"/>
      <c r="E12" s="82"/>
      <c r="F12" s="82"/>
      <c r="G12" s="82"/>
      <c r="H12" s="82"/>
      <c r="I12" s="82"/>
    </row>
    <row r="13" spans="1:9" ht="26.25" customHeight="1">
      <c r="A13" s="9" t="s">
        <v>1106</v>
      </c>
      <c r="B13" s="83" t="s">
        <v>152</v>
      </c>
      <c r="C13" s="84"/>
      <c r="D13" s="41" t="s">
        <v>212</v>
      </c>
      <c r="E13" s="83" t="s">
        <v>437</v>
      </c>
      <c r="F13" s="84"/>
      <c r="G13" s="41" t="s">
        <v>791</v>
      </c>
      <c r="H13" s="83" t="s">
        <v>215</v>
      </c>
      <c r="I13" s="84"/>
    </row>
    <row r="14" spans="1:9" ht="15" customHeight="1">
      <c r="A14" s="16" t="s">
        <v>448</v>
      </c>
      <c r="B14" s="31" t="s">
        <v>304</v>
      </c>
      <c r="C14" s="40">
        <f>SUMIF('Stavební rozpočet'!AI12:AI615,"SO 304",'Stavební rozpočet'!AB12:AB615)</f>
        <v>0</v>
      </c>
      <c r="D14" s="91" t="s">
        <v>894</v>
      </c>
      <c r="E14" s="92"/>
      <c r="F14" s="40">
        <v>0</v>
      </c>
      <c r="G14" s="91" t="s">
        <v>126</v>
      </c>
      <c r="H14" s="92"/>
      <c r="I14" s="38" t="s">
        <v>645</v>
      </c>
    </row>
    <row r="15" spans="1:9" ht="15" customHeight="1">
      <c r="A15" s="1" t="s">
        <v>862</v>
      </c>
      <c r="B15" s="31" t="s">
        <v>224</v>
      </c>
      <c r="C15" s="40">
        <f>SUMIF('Stavební rozpočet'!AI12:AI615,"SO 304",'Stavební rozpočet'!AC12:AC615)</f>
        <v>0</v>
      </c>
      <c r="D15" s="91" t="s">
        <v>122</v>
      </c>
      <c r="E15" s="92"/>
      <c r="F15" s="40">
        <v>0</v>
      </c>
      <c r="G15" s="91" t="s">
        <v>989</v>
      </c>
      <c r="H15" s="92"/>
      <c r="I15" s="38" t="s">
        <v>645</v>
      </c>
    </row>
    <row r="16" spans="1:9" ht="15" customHeight="1">
      <c r="A16" s="16" t="s">
        <v>116</v>
      </c>
      <c r="B16" s="31" t="s">
        <v>304</v>
      </c>
      <c r="C16" s="40">
        <f>SUMIF('Stavební rozpočet'!AI12:AI615,"SO 304",'Stavební rozpočet'!AD12:AD615)</f>
        <v>0</v>
      </c>
      <c r="D16" s="91" t="s">
        <v>923</v>
      </c>
      <c r="E16" s="92"/>
      <c r="F16" s="40">
        <v>0</v>
      </c>
      <c r="G16" s="91" t="s">
        <v>1190</v>
      </c>
      <c r="H16" s="92"/>
      <c r="I16" s="38" t="s">
        <v>645</v>
      </c>
    </row>
    <row r="17" spans="1:9" ht="15" customHeight="1">
      <c r="A17" s="1" t="s">
        <v>862</v>
      </c>
      <c r="B17" s="31" t="s">
        <v>224</v>
      </c>
      <c r="C17" s="40">
        <f>SUMIF('Stavební rozpočet'!AI12:AI615,"SO 304",'Stavební rozpočet'!AE12:AE615)</f>
        <v>0</v>
      </c>
      <c r="D17" s="91" t="s">
        <v>862</v>
      </c>
      <c r="E17" s="92"/>
      <c r="F17" s="38" t="s">
        <v>862</v>
      </c>
      <c r="G17" s="91" t="s">
        <v>651</v>
      </c>
      <c r="H17" s="92"/>
      <c r="I17" s="38" t="s">
        <v>645</v>
      </c>
    </row>
    <row r="18" spans="1:9" ht="15" customHeight="1">
      <c r="A18" s="16" t="s">
        <v>371</v>
      </c>
      <c r="B18" s="31" t="s">
        <v>304</v>
      </c>
      <c r="C18" s="40">
        <f>SUMIF('Stavební rozpočet'!AI12:AI615,"SO 304",'Stavební rozpočet'!AF12:AF615)</f>
        <v>0</v>
      </c>
      <c r="D18" s="91" t="s">
        <v>862</v>
      </c>
      <c r="E18" s="92"/>
      <c r="F18" s="38" t="s">
        <v>862</v>
      </c>
      <c r="G18" s="91" t="s">
        <v>808</v>
      </c>
      <c r="H18" s="92"/>
      <c r="I18" s="38" t="s">
        <v>645</v>
      </c>
    </row>
    <row r="19" spans="1:9" ht="15" customHeight="1">
      <c r="A19" s="1" t="s">
        <v>862</v>
      </c>
      <c r="B19" s="31" t="s">
        <v>224</v>
      </c>
      <c r="C19" s="40">
        <f>SUMIF('Stavební rozpočet'!AI12:AI615,"SO 304",'Stavební rozpočet'!AG12:AG615)</f>
        <v>0</v>
      </c>
      <c r="D19" s="91" t="s">
        <v>862</v>
      </c>
      <c r="E19" s="92"/>
      <c r="F19" s="38" t="s">
        <v>862</v>
      </c>
      <c r="G19" s="91" t="s">
        <v>1224</v>
      </c>
      <c r="H19" s="92"/>
      <c r="I19" s="38" t="s">
        <v>645</v>
      </c>
    </row>
    <row r="20" spans="1:9" ht="15" customHeight="1">
      <c r="A20" s="85" t="s">
        <v>88</v>
      </c>
      <c r="B20" s="86"/>
      <c r="C20" s="40">
        <f>SUMIF('Stavební rozpočet'!AI12:AI615,"SO 304",'Stavební rozpočet'!AH12:AH615)</f>
        <v>0</v>
      </c>
      <c r="D20" s="91" t="s">
        <v>862</v>
      </c>
      <c r="E20" s="92"/>
      <c r="F20" s="38" t="s">
        <v>862</v>
      </c>
      <c r="G20" s="91" t="s">
        <v>862</v>
      </c>
      <c r="H20" s="92"/>
      <c r="I20" s="38" t="s">
        <v>862</v>
      </c>
    </row>
    <row r="21" spans="1:9" ht="15" customHeight="1">
      <c r="A21" s="87" t="s">
        <v>1223</v>
      </c>
      <c r="B21" s="88"/>
      <c r="C21" s="40">
        <f>SUMIF('Stavební rozpočet'!AI12:AI615,"SO 304",'Stavební rozpočet'!Z12:Z615)</f>
        <v>0</v>
      </c>
      <c r="D21" s="93" t="s">
        <v>862</v>
      </c>
      <c r="E21" s="94"/>
      <c r="F21" s="42" t="s">
        <v>862</v>
      </c>
      <c r="G21" s="93" t="s">
        <v>862</v>
      </c>
      <c r="H21" s="94"/>
      <c r="I21" s="42" t="s">
        <v>862</v>
      </c>
    </row>
    <row r="22" spans="1:9" ht="16.5" customHeight="1">
      <c r="A22" s="89" t="s">
        <v>231</v>
      </c>
      <c r="B22" s="90"/>
      <c r="C22" s="40">
        <f>SUM(C14:C21)</f>
        <v>0</v>
      </c>
      <c r="D22" s="95" t="s">
        <v>626</v>
      </c>
      <c r="E22" s="90"/>
      <c r="F22" s="17">
        <f>SUM(F14:F21)</f>
        <v>0</v>
      </c>
      <c r="G22" s="95" t="s">
        <v>1247</v>
      </c>
      <c r="H22" s="90"/>
      <c r="I22" s="17">
        <f>SUM(I14:I21)</f>
        <v>0</v>
      </c>
    </row>
    <row r="23" spans="7:8" ht="15" customHeight="1">
      <c r="G23" s="85" t="s">
        <v>859</v>
      </c>
      <c r="H23" s="86"/>
    </row>
    <row r="25" spans="1:3" ht="15" customHeight="1">
      <c r="A25" s="97" t="s">
        <v>486</v>
      </c>
      <c r="B25" s="98"/>
      <c r="C25" s="55">
        <f>('Stavební rozpočet'!AS350+'Stavební rozpočet'!AS363+'Stavební rozpočet'!AS365+'Stavební rozpočet'!AS368+'Stavební rozpočet'!AS371+'Stavební rozpočet'!AS374+'Stavební rozpočet'!AS377+'Stavební rozpočet'!AS380+'Stavební rozpočet'!AS383+'Stavební rozpočet'!AS385+'Stavební rozpočet'!AS388+'Stavební rozpočet'!AS390+'Stavební rozpočet'!AS399+'Stavební rozpočet'!AS406+'Stavební rozpočet'!AS426+'Stavební rozpočet'!AS428)</f>
        <v>0</v>
      </c>
    </row>
    <row r="26" spans="1:9" ht="15" customHeight="1">
      <c r="A26" s="99" t="s">
        <v>30</v>
      </c>
      <c r="B26" s="100"/>
      <c r="C26" s="34">
        <f>('Stavební rozpočet'!AT350+'Stavební rozpočet'!AT363+'Stavební rozpočet'!AT365+'Stavební rozpočet'!AT368+'Stavební rozpočet'!AT371+'Stavební rozpočet'!AT374+'Stavební rozpočet'!AT377+'Stavební rozpočet'!AT380+'Stavební rozpočet'!AT383+'Stavební rozpočet'!AT385+'Stavební rozpočet'!AT388+'Stavební rozpočet'!AT390+'Stavební rozpočet'!AT399+'Stavební rozpočet'!AT406+'Stavební rozpočet'!AT426+'Stavební rozpočet'!AT428)</f>
        <v>0</v>
      </c>
      <c r="D26" s="98" t="s">
        <v>262</v>
      </c>
      <c r="E26" s="98"/>
      <c r="F26" s="55">
        <f>ROUND(C26*(15/100),2)</f>
        <v>0</v>
      </c>
      <c r="G26" s="98" t="s">
        <v>172</v>
      </c>
      <c r="H26" s="98"/>
      <c r="I26" s="55">
        <f>SUM(C25:C27)</f>
        <v>0</v>
      </c>
    </row>
    <row r="27" spans="1:9" ht="15" customHeight="1">
      <c r="A27" s="99" t="s">
        <v>58</v>
      </c>
      <c r="B27" s="100"/>
      <c r="C27" s="34">
        <f>('Stavební rozpočet'!AU350+'Stavební rozpočet'!AU363+'Stavební rozpočet'!AU365+'Stavební rozpočet'!AU368+'Stavební rozpočet'!AU371+'Stavební rozpočet'!AU374+'Stavební rozpočet'!AU377+'Stavební rozpočet'!AU380+'Stavební rozpočet'!AU383+'Stavební rozpočet'!AU385+'Stavební rozpočet'!AU388+'Stavební rozpočet'!AU390+'Stavební rozpočet'!AU399+'Stavební rozpočet'!AU406+'Stavební rozpočet'!AU426+'Stavební rozpočet'!AU428)</f>
        <v>0</v>
      </c>
      <c r="D27" s="100" t="s">
        <v>930</v>
      </c>
      <c r="E27" s="100"/>
      <c r="F27" s="34">
        <f>ROUND(C27*(21/100),2)</f>
        <v>0</v>
      </c>
      <c r="G27" s="100" t="s">
        <v>482</v>
      </c>
      <c r="H27" s="100"/>
      <c r="I27" s="34">
        <f>SUM(F26:F27)+I26</f>
        <v>0</v>
      </c>
    </row>
    <row r="29" spans="1:9" ht="15" customHeight="1">
      <c r="A29" s="101" t="s">
        <v>21</v>
      </c>
      <c r="B29" s="102"/>
      <c r="C29" s="103"/>
      <c r="D29" s="102" t="s">
        <v>1176</v>
      </c>
      <c r="E29" s="102"/>
      <c r="F29" s="103"/>
      <c r="G29" s="102" t="s">
        <v>846</v>
      </c>
      <c r="H29" s="102"/>
      <c r="I29" s="103"/>
    </row>
    <row r="30" spans="1:9" ht="15" customHeight="1">
      <c r="A30" s="104" t="s">
        <v>862</v>
      </c>
      <c r="B30" s="93"/>
      <c r="C30" s="105"/>
      <c r="D30" s="93" t="s">
        <v>862</v>
      </c>
      <c r="E30" s="93"/>
      <c r="F30" s="105"/>
      <c r="G30" s="93" t="s">
        <v>862</v>
      </c>
      <c r="H30" s="93"/>
      <c r="I30" s="105"/>
    </row>
    <row r="31" spans="1:9" ht="15" customHeight="1">
      <c r="A31" s="104" t="s">
        <v>862</v>
      </c>
      <c r="B31" s="93"/>
      <c r="C31" s="105"/>
      <c r="D31" s="93" t="s">
        <v>862</v>
      </c>
      <c r="E31" s="93"/>
      <c r="F31" s="105"/>
      <c r="G31" s="93" t="s">
        <v>862</v>
      </c>
      <c r="H31" s="93"/>
      <c r="I31" s="105"/>
    </row>
    <row r="32" spans="1:9" ht="15" customHeight="1">
      <c r="A32" s="104" t="s">
        <v>862</v>
      </c>
      <c r="B32" s="93"/>
      <c r="C32" s="105"/>
      <c r="D32" s="93" t="s">
        <v>862</v>
      </c>
      <c r="E32" s="93"/>
      <c r="F32" s="105"/>
      <c r="G32" s="93" t="s">
        <v>862</v>
      </c>
      <c r="H32" s="93"/>
      <c r="I32" s="105"/>
    </row>
    <row r="33" spans="1:9" ht="15" customHeight="1">
      <c r="A33" s="106" t="s">
        <v>227</v>
      </c>
      <c r="B33" s="107"/>
      <c r="C33" s="108"/>
      <c r="D33" s="107" t="s">
        <v>227</v>
      </c>
      <c r="E33" s="107"/>
      <c r="F33" s="108"/>
      <c r="G33" s="107" t="s">
        <v>227</v>
      </c>
      <c r="H33" s="107"/>
      <c r="I33" s="108"/>
    </row>
    <row r="34" ht="15" customHeight="1">
      <c r="A34" s="4" t="s">
        <v>106</v>
      </c>
    </row>
    <row r="35" spans="1:9" ht="12.75" customHeight="1">
      <c r="A35" s="64" t="s">
        <v>862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80"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  <mergeCell ref="A33:C33"/>
    <mergeCell ref="D29:F29"/>
    <mergeCell ref="D30:F30"/>
    <mergeCell ref="D31:F31"/>
    <mergeCell ref="D32:F32"/>
    <mergeCell ref="D33:F33"/>
    <mergeCell ref="A26:B26"/>
    <mergeCell ref="A27:B27"/>
    <mergeCell ref="D26:E26"/>
    <mergeCell ref="D27:E27"/>
    <mergeCell ref="G26:H26"/>
    <mergeCell ref="G27:H27"/>
    <mergeCell ref="G19:H19"/>
    <mergeCell ref="G20:H20"/>
    <mergeCell ref="G21:H21"/>
    <mergeCell ref="G22:H22"/>
    <mergeCell ref="G23:H23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Jan Hyliš</cp:lastModifiedBy>
  <dcterms:created xsi:type="dcterms:W3CDTF">2021-06-10T20:06:38Z</dcterms:created>
  <dcterms:modified xsi:type="dcterms:W3CDTF">2023-06-13T13:36:26Z</dcterms:modified>
  <cp:category/>
  <cp:version/>
  <cp:contentType/>
  <cp:contentStatus/>
</cp:coreProperties>
</file>