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8" windowHeight="12000" activeTab="0"/>
  </bookViews>
  <sheets>
    <sheet name="Stavební rozpočet" sheetId="1" r:id="rId1"/>
    <sheet name="Krycí list rozpočtu" sheetId="2" r:id="rId2"/>
    <sheet name="Krycí list rozpočtu (SO)" sheetId="3" r:id="rId3"/>
    <sheet name="Krycí list rozpočtu (SO 100)" sheetId="4" r:id="rId4"/>
    <sheet name="Krycí list rozpočtu (SO 100a)" sheetId="5" r:id="rId5"/>
    <sheet name="Krycí list rozpočtu (SO 301)" sheetId="6" r:id="rId6"/>
    <sheet name="Krycí list rozpočtu (SO 302)" sheetId="7" r:id="rId7"/>
    <sheet name="Krycí list rozpočtu (SO 303)" sheetId="8" r:id="rId8"/>
    <sheet name="Krycí list rozpočtu (SO 304)" sheetId="9" r:id="rId9"/>
    <sheet name="Krycí list rozpočtu (SO 305)" sheetId="10" r:id="rId10"/>
    <sheet name="Krycí list rozpočtu (SO 800)" sheetId="11" r:id="rId11"/>
    <sheet name="Krycí list rozpočtu (SO100b)" sheetId="12" r:id="rId12"/>
    <sheet name="Krycí list rozpočtu (SO304.1)" sheetId="13" r:id="rId13"/>
  </sheets>
  <definedNames/>
  <calcPr fullCalcOnLoad="1"/>
</workbook>
</file>

<file path=xl/sharedStrings.xml><?xml version="1.0" encoding="utf-8"?>
<sst xmlns="http://schemas.openxmlformats.org/spreadsheetml/2006/main" count="8612" uniqueCount="1882">
  <si>
    <t>979084319R00</t>
  </si>
  <si>
    <t>597103020RA100</t>
  </si>
  <si>
    <t>877435121R00</t>
  </si>
  <si>
    <t>360</t>
  </si>
  <si>
    <t>92</t>
  </si>
  <si>
    <t>Montáž tvarovek litin. odboč. přír. výkop DN 100</t>
  </si>
  <si>
    <t>899731114R00</t>
  </si>
  <si>
    <t>16+6</t>
  </si>
  <si>
    <t>439</t>
  </si>
  <si>
    <t>877373121R00</t>
  </si>
  <si>
    <t>439,1*1,05</t>
  </si>
  <si>
    <t>165</t>
  </si>
  <si>
    <t>1,9+3,7+5,5+2,3+3,2+4,2+4,3+6,1+6,2+7,4+3+2,3+14,1+7,5+8,3+8,9</t>
  </si>
  <si>
    <t>366,525-256,568</t>
  </si>
  <si>
    <t>65*4*0,2</t>
  </si>
  <si>
    <t>Doba výstavby:</t>
  </si>
  <si>
    <t>Hloubené vykopávky</t>
  </si>
  <si>
    <t>198</t>
  </si>
  <si>
    <t>297</t>
  </si>
  <si>
    <t>261</t>
  </si>
  <si>
    <t>412</t>
  </si>
  <si>
    <t>899521411RT1</t>
  </si>
  <si>
    <t>Osazení stojat. obrub. bet.bez opěry,lože z C12/15</t>
  </si>
  <si>
    <t>162701105R00</t>
  </si>
  <si>
    <t>323</t>
  </si>
  <si>
    <t>650106461R00</t>
  </si>
  <si>
    <t>Projektant</t>
  </si>
  <si>
    <t>919735113R00</t>
  </si>
  <si>
    <t>67</t>
  </si>
  <si>
    <t>použít paprskovitou mříž 150cm dle zadání MU- Milevsko.
včetně spodního rámu,spoj.materiálu a povrchové úpravy,</t>
  </si>
  <si>
    <t>209</t>
  </si>
  <si>
    <t>272</t>
  </si>
  <si>
    <t>226</t>
  </si>
  <si>
    <t>283</t>
  </si>
  <si>
    <t>Stožár osvětlovací uliční K 6-133/89/60</t>
  </si>
  <si>
    <t>Základ 15%</t>
  </si>
  <si>
    <t>183</t>
  </si>
  <si>
    <t>TBV-Q 45/24 KN spodní dílec dešťové vpusti DN 450</t>
  </si>
  <si>
    <t>odbočky</t>
  </si>
  <si>
    <t>23*1*1</t>
  </si>
  <si>
    <t>Bourání konstrukcí z dílců prefa. betonových a ŽB</t>
  </si>
  <si>
    <t>379</t>
  </si>
  <si>
    <t>Elektrotvarovka - redukce FRIALEN MR D110/63</t>
  </si>
  <si>
    <t>650106121R00</t>
  </si>
  <si>
    <t>736,3+677,178</t>
  </si>
  <si>
    <t>591110011RRA</t>
  </si>
  <si>
    <t>103</t>
  </si>
  <si>
    <t>Obsyp potrubí bez prohození sypaniny</t>
  </si>
  <si>
    <t>424</t>
  </si>
  <si>
    <t>75*0,02</t>
  </si>
  <si>
    <t>14221300</t>
  </si>
  <si>
    <t>HAWLE šoupátko 2800 DN 5/4" pro dom.příp. - voda</t>
  </si>
  <si>
    <t>1. zálivka po výsadbě</t>
  </si>
  <si>
    <t>280,6*2,6*2</t>
  </si>
  <si>
    <t>59224349</t>
  </si>
  <si>
    <t>892671111R00</t>
  </si>
  <si>
    <t>dorovnání zásypem (bývalý podklad vozovky+ výkopek) do původní nivelety</t>
  </si>
  <si>
    <t>(130+175)*2</t>
  </si>
  <si>
    <t>16+11+1+2+3</t>
  </si>
  <si>
    <t>42200750</t>
  </si>
  <si>
    <t>166</t>
  </si>
  <si>
    <t>veškeré potrubí mimo šachty; 10% ztratné; 2 vedle sebe</t>
  </si>
  <si>
    <t>286535-R02</t>
  </si>
  <si>
    <t>6x pro DN 600</t>
  </si>
  <si>
    <t>260+185+10+5</t>
  </si>
  <si>
    <t>úhel dle skutečnosti, ověřit na stavbě</t>
  </si>
  <si>
    <t>pro provizorní přípojky, opakovně použitelný mat.</t>
  </si>
  <si>
    <t>979951122R00</t>
  </si>
  <si>
    <t>228</t>
  </si>
  <si>
    <t>DIO - 4X etapa.</t>
  </si>
  <si>
    <t>361</t>
  </si>
  <si>
    <t>předpoklad stávajících přípojek BE150</t>
  </si>
  <si>
    <t>Poplatek za uložení suti - beton, skupina odpadu 170101</t>
  </si>
  <si>
    <t>do 40 km celkem (skládka Písek)</t>
  </si>
  <si>
    <t>91</t>
  </si>
  <si>
    <t>Poklop EURO litinový samonivelační D400 SN600</t>
  </si>
  <si>
    <t>87</t>
  </si>
  <si>
    <t>Základ 21%</t>
  </si>
  <si>
    <t>Výsadba stromu s balem, v rovině, výšky do 200 cm</t>
  </si>
  <si>
    <t>20</t>
  </si>
  <si>
    <t>03VRN</t>
  </si>
  <si>
    <t>237</t>
  </si>
  <si>
    <t>59224364.A</t>
  </si>
  <si>
    <t>564851111RT4</t>
  </si>
  <si>
    <t>4+8+8+7</t>
  </si>
  <si>
    <t>Dodávka</t>
  </si>
  <si>
    <t>NUS celkem z obj.</t>
  </si>
  <si>
    <t>336</t>
  </si>
  <si>
    <t>419</t>
  </si>
  <si>
    <t>rýha ve stáv. silnici</t>
  </si>
  <si>
    <t>Přesun hmot pro kabelovody jakéhokoliv rozsahu</t>
  </si>
  <si>
    <t>zálivka spáry při rekci silnice Husovo nám.</t>
  </si>
  <si>
    <t>den</t>
  </si>
  <si>
    <t>2865447050</t>
  </si>
  <si>
    <t>Montáž tvarovek jednoos. plast. gum.kroužek DN 150</t>
  </si>
  <si>
    <t>65*4</t>
  </si>
  <si>
    <t>483*1,4</t>
  </si>
  <si>
    <t>167</t>
  </si>
  <si>
    <t>Ukotvení dřeviny kůly D do 10 cm, dl. do 2 m</t>
  </si>
  <si>
    <t>odbočky pro vypouštění a napouštění, opakovně použitelný mat.</t>
  </si>
  <si>
    <t>6+21+2+2+11</t>
  </si>
  <si>
    <t>křížení se stávajícím přivaděčem (pokud již nebude přeložen)</t>
  </si>
  <si>
    <t>Montáž vodovodních šoupátek ve výkopu DN 80</t>
  </si>
  <si>
    <t>stávající (bez nového materiálu)</t>
  </si>
  <si>
    <t>BOX - ochrana kořenového systému včetně závlahového systému</t>
  </si>
  <si>
    <t>SO 800_9_</t>
  </si>
  <si>
    <t>448</t>
  </si>
  <si>
    <t>286550923</t>
  </si>
  <si>
    <t>338</t>
  </si>
  <si>
    <t>87_</t>
  </si>
  <si>
    <t>-obsyp -lože</t>
  </si>
  <si>
    <t>42293139</t>
  </si>
  <si>
    <t>171</t>
  </si>
  <si>
    <t>147</t>
  </si>
  <si>
    <t>Odstranění podkladu nad 50 m2,kam.drcené tl.20 cm</t>
  </si>
  <si>
    <t>3,2+4+1,5+5,6+3,2+5,1+4+2</t>
  </si>
  <si>
    <t>Název stavby:</t>
  </si>
  <si>
    <t>odhad řezání zbytku povrchů stáv. komunikace.</t>
  </si>
  <si>
    <t>SO 303_4_</t>
  </si>
  <si>
    <t>Ostatní materiál</t>
  </si>
  <si>
    <t>2865447070</t>
  </si>
  <si>
    <t>Skruž šachetní TBS-Q.1 100/50/12 PS</t>
  </si>
  <si>
    <t>48</t>
  </si>
  <si>
    <t>29</t>
  </si>
  <si>
    <t>Potrubí z trub plastických, skleněných a čedičových</t>
  </si>
  <si>
    <t>917832111RT5</t>
  </si>
  <si>
    <t>130900030RAD</t>
  </si>
  <si>
    <t>Č</t>
  </si>
  <si>
    <t>10371500</t>
  </si>
  <si>
    <t>527,438</t>
  </si>
  <si>
    <t>na základě dodavatelské dokum. den</t>
  </si>
  <si>
    <t>2*69</t>
  </si>
  <si>
    <t>89_</t>
  </si>
  <si>
    <t>130*0,31</t>
  </si>
  <si>
    <t>Dovoz vody pro zálivku rostlin do 6 km</t>
  </si>
  <si>
    <t>jako rezerva na 50% poškozených stávajících poklopů</t>
  </si>
  <si>
    <t>Příplatek za dalších 0,30 m výšky spadiště jednod.</t>
  </si>
  <si>
    <t>Poplatek za uložení, zemina a kamení kusovost nad 1600 cm2, (skup.170504)</t>
  </si>
  <si>
    <t>230194007R00</t>
  </si>
  <si>
    <t>4+4+4</t>
  </si>
  <si>
    <t>0,5*(260+180+10+5)</t>
  </si>
  <si>
    <t>SO 301</t>
  </si>
  <si>
    <t>Projektové práce - realizační dokumentace</t>
  </si>
  <si>
    <t>Osazení stojat. obrub.bet. s opěrou,lože z C 12/15</t>
  </si>
  <si>
    <t>Poznámka:</t>
  </si>
  <si>
    <t xml:space="preserve"> rozměr 3,6x3,6x0,6 včetně drenážního a zálivkobého potrubí -bez dodávky substrátu- komplet</t>
  </si>
  <si>
    <t>894422111RT1</t>
  </si>
  <si>
    <t>722120815R00</t>
  </si>
  <si>
    <t>Lokalita:</t>
  </si>
  <si>
    <t>899203111RT3</t>
  </si>
  <si>
    <t>147,9119</t>
  </si>
  <si>
    <t>79</t>
  </si>
  <si>
    <t>71</t>
  </si>
  <si>
    <t>16</t>
  </si>
  <si>
    <t>Zkouška těsnosti kanalizace DN do 800, vodou</t>
  </si>
  <si>
    <t>59224368.A</t>
  </si>
  <si>
    <t>PSV</t>
  </si>
  <si>
    <t>357</t>
  </si>
  <si>
    <t>446</t>
  </si>
  <si>
    <t>189</t>
  </si>
  <si>
    <t>24</t>
  </si>
  <si>
    <t>377</t>
  </si>
  <si>
    <t>Bez pevné podl.</t>
  </si>
  <si>
    <t>327</t>
  </si>
  <si>
    <t>typ a výška dle DN potrubí a chráničky</t>
  </si>
  <si>
    <t>Celkem</t>
  </si>
  <si>
    <t>(183-21)*0,42</t>
  </si>
  <si>
    <t>Hloubení rýh š.do 200 cm hor.3 do 50 m3,STROJNĚ</t>
  </si>
  <si>
    <t>Zařízení staveniště</t>
  </si>
  <si>
    <t>Dno šachetní přímé TBZ-Q.1 120/120 V80</t>
  </si>
  <si>
    <t>437</t>
  </si>
  <si>
    <t>DN dle stávající přípojky!</t>
  </si>
  <si>
    <t>SO 304_</t>
  </si>
  <si>
    <t>plocha stěny výkopu z PP</t>
  </si>
  <si>
    <t>(bude použit výkopek)</t>
  </si>
  <si>
    <t>(280,6-46*0,3)</t>
  </si>
  <si>
    <t>Zabezpečení konců kanal. potrubí DN do 300, vodou</t>
  </si>
  <si>
    <t>115001102R00</t>
  </si>
  <si>
    <t>Běžné stavební práce</t>
  </si>
  <si>
    <t>11_</t>
  </si>
  <si>
    <t>592238739</t>
  </si>
  <si>
    <t>Zřízení vpusti uliční z dílců typ UV - 50 normální</t>
  </si>
  <si>
    <t>460030011RT2</t>
  </si>
  <si>
    <t>871313121R00</t>
  </si>
  <si>
    <t>zbytek oboustranně</t>
  </si>
  <si>
    <t>391</t>
  </si>
  <si>
    <t>Deska dlažební řezaná do 0,24 m2 tl. 8 cm žula</t>
  </si>
  <si>
    <t>cca 3 kolize na každou přípojku</t>
  </si>
  <si>
    <t>413</t>
  </si>
  <si>
    <t>456</t>
  </si>
  <si>
    <t>SO 304_8_</t>
  </si>
  <si>
    <t>4</t>
  </si>
  <si>
    <t>97</t>
  </si>
  <si>
    <t>121</t>
  </si>
  <si>
    <t>94</t>
  </si>
  <si>
    <t>LI 80</t>
  </si>
  <si>
    <t>Sejmutí drnu</t>
  </si>
  <si>
    <t>- potrubí DN 800</t>
  </si>
  <si>
    <t>145</t>
  </si>
  <si>
    <t>vč. poklopů v napojovacích bodech</t>
  </si>
  <si>
    <t>60</t>
  </si>
  <si>
    <t>151101102R00</t>
  </si>
  <si>
    <t>461</t>
  </si>
  <si>
    <t>Nakládání výkopku z hor.1-4 v množství nad 100 m3</t>
  </si>
  <si>
    <t>provizorní řad</t>
  </si>
  <si>
    <t>Základní rozpočtové náklady</t>
  </si>
  <si>
    <t>slouží pro ocenění spojky nebo přechodky na stávající přípojku</t>
  </si>
  <si>
    <t>352</t>
  </si>
  <si>
    <t>439,1</t>
  </si>
  <si>
    <t>13*1,5*1*1,5</t>
  </si>
  <si>
    <t>235</t>
  </si>
  <si>
    <t>26</t>
  </si>
  <si>
    <t>Osazení poklopů litinových šoupátkových</t>
  </si>
  <si>
    <t>Objímka distanční typ f/g 361-400mm</t>
  </si>
  <si>
    <t>105</t>
  </si>
  <si>
    <t>28653336.A</t>
  </si>
  <si>
    <t>59224369.A</t>
  </si>
  <si>
    <t>Vodorovné přemístění výkopku z hor.1-4 do 2000 m</t>
  </si>
  <si>
    <t>673909992034</t>
  </si>
  <si>
    <t>Trubka tlaková RC1 PE100 32x3,0 mm PN16</t>
  </si>
  <si>
    <t>135</t>
  </si>
  <si>
    <t>Substrát strukturální - realizační</t>
  </si>
  <si>
    <t>332</t>
  </si>
  <si>
    <t>7,77x3+3,6</t>
  </si>
  <si>
    <t>HAWLE šoupátko 4000E2 DN 100 přírubové, voda</t>
  </si>
  <si>
    <t>Konstrukce ze zemin</t>
  </si>
  <si>
    <t>Hloubení rýh š.do 200 cm hor.2 do 10000 m3,STROJNĚ</t>
  </si>
  <si>
    <t>46*3,2*1</t>
  </si>
  <si>
    <t>10+10+9</t>
  </si>
  <si>
    <t>253</t>
  </si>
  <si>
    <t>52*2</t>
  </si>
  <si>
    <t>Pažnice z trub ocelových d 530/8</t>
  </si>
  <si>
    <t>Zkouška hutnící. 3x</t>
  </si>
  <si>
    <t>(439,1-4)*1,1</t>
  </si>
  <si>
    <t>Celkem bez DPH</t>
  </si>
  <si>
    <t>451</t>
  </si>
  <si>
    <t>122</t>
  </si>
  <si>
    <t>Ventil přímý d 63 x 2" PP či PE, vnější závit 2" + svěrné hrdlo d63</t>
  </si>
  <si>
    <t>184201114RAA</t>
  </si>
  <si>
    <t>Přirážka za 1 spoj elektrotvarovky d 110 mm</t>
  </si>
  <si>
    <t>899711122R00</t>
  </si>
  <si>
    <t>268</t>
  </si>
  <si>
    <t>2+2</t>
  </si>
  <si>
    <t>6+1+3</t>
  </si>
  <si>
    <t>3x podklad pod box pod stromy</t>
  </si>
  <si>
    <t>291</t>
  </si>
  <si>
    <t>SO 303_8_</t>
  </si>
  <si>
    <t>138</t>
  </si>
  <si>
    <t>zalití rostlin do předání st.</t>
  </si>
  <si>
    <t>M21</t>
  </si>
  <si>
    <t>721_</t>
  </si>
  <si>
    <t>vybourání a odvoz stávajících šachet (1,5m3/šachtu)</t>
  </si>
  <si>
    <t>172</t>
  </si>
  <si>
    <t>10*3</t>
  </si>
  <si>
    <t>460600001RT3</t>
  </si>
  <si>
    <t>Hmotnost (t)</t>
  </si>
  <si>
    <t>SO_ _</t>
  </si>
  <si>
    <t>02VRN_</t>
  </si>
  <si>
    <t>960111221R00</t>
  </si>
  <si>
    <t>T-kus redukovaný z PE 63/32/63 mm</t>
  </si>
  <si>
    <t>32,5-7*0,5</t>
  </si>
  <si>
    <t>45539103/CZ45539103</t>
  </si>
  <si>
    <t>438</t>
  </si>
  <si>
    <t>242</t>
  </si>
  <si>
    <t>223</t>
  </si>
  <si>
    <t>Osaz. bet. dílců šachet, dna, na kroužek, do 5,0 t</t>
  </si>
  <si>
    <t>15615235</t>
  </si>
  <si>
    <t>28657-001 R</t>
  </si>
  <si>
    <t>pokud nebude se správcem dohodnuto bezpískové uložení</t>
  </si>
  <si>
    <t>6</t>
  </si>
  <si>
    <t>Rozpočtové náklady v Kč</t>
  </si>
  <si>
    <t>všechna dna s čedičovou výstelkou, 1x i s obkladem</t>
  </si>
  <si>
    <t>68</t>
  </si>
  <si>
    <t>307</t>
  </si>
  <si>
    <t>DN 400, dno rýhy 1,2 m, úhel založení 120°, tl. 100</t>
  </si>
  <si>
    <t>1580</t>
  </si>
  <si>
    <t>Odstranění železobet. trub do DN 1200 mm,ve výkopu</t>
  </si>
  <si>
    <t>81</t>
  </si>
  <si>
    <t>před bouráním a pro zálivku spojovací spáry</t>
  </si>
  <si>
    <t>426</t>
  </si>
  <si>
    <t>235*0,02</t>
  </si>
  <si>
    <t>871433121R00</t>
  </si>
  <si>
    <t>216</t>
  </si>
  <si>
    <t>591100020RAB</t>
  </si>
  <si>
    <t>408</t>
  </si>
  <si>
    <t>H00_</t>
  </si>
  <si>
    <t>Výřez a montáž tvarovky z plastu na potrubí DN 400</t>
  </si>
  <si>
    <t>DN 400</t>
  </si>
  <si>
    <t>B</t>
  </si>
  <si>
    <t>119</t>
  </si>
  <si>
    <t>160</t>
  </si>
  <si>
    <t>Náklady na umístění stavby (NUS)</t>
  </si>
  <si>
    <t>343</t>
  </si>
  <si>
    <t>10+10+5</t>
  </si>
  <si>
    <t>79,5</t>
  </si>
  <si>
    <t>- potrubí DN 400</t>
  </si>
  <si>
    <t>42</t>
  </si>
  <si>
    <t>SO 305_1_</t>
  </si>
  <si>
    <t>231</t>
  </si>
  <si>
    <t>Zkoušky</t>
  </si>
  <si>
    <t>034002VRN</t>
  </si>
  <si>
    <t>82</t>
  </si>
  <si>
    <t>Montáž trub z plastických hmot PE, PP, do 63 x 3,8</t>
  </si>
  <si>
    <t>stoka</t>
  </si>
  <si>
    <t>Montáž</t>
  </si>
  <si>
    <t>899721112R00</t>
  </si>
  <si>
    <t>229</t>
  </si>
  <si>
    <t>Datum, razítko a podpis</t>
  </si>
  <si>
    <t>01.08.2023</t>
  </si>
  <si>
    <t>Poplatek za recyklaci, beton silně vyztužený, kusovost do 1600 cm2 (skup.170101)</t>
  </si>
  <si>
    <t>ZRN celkem</t>
  </si>
  <si>
    <t>Zabezpečení staveniště - oplocení</t>
  </si>
  <si>
    <t>13*1</t>
  </si>
  <si>
    <t>2865190009-R</t>
  </si>
  <si>
    <t>Drenážní potrubí DN 150 - včetně lože ze štěrkopísku a obsyp kamenivem 16/32</t>
  </si>
  <si>
    <t>přírodní 100x200x60</t>
  </si>
  <si>
    <t>28653517</t>
  </si>
  <si>
    <t>Tlaková zkouška vodovodního potrubí do DN 80</t>
  </si>
  <si>
    <t>3020</t>
  </si>
  <si>
    <t>17_</t>
  </si>
  <si>
    <t>Výložník ocelový 1ramenný nad 35 kg</t>
  </si>
  <si>
    <t>Krycí list slepého rozpočtu (SO304.1 - Provizorní vodovod s přípojkami)</t>
  </si>
  <si>
    <t>sada</t>
  </si>
  <si>
    <t>SO 302</t>
  </si>
  <si>
    <t>382</t>
  </si>
  <si>
    <t>979990103R00</t>
  </si>
  <si>
    <t>431</t>
  </si>
  <si>
    <t>Montáž svítidla veřejného osvětlení na výložník</t>
  </si>
  <si>
    <t>69</t>
  </si>
  <si>
    <t>Chodník ze žulových kostek</t>
  </si>
  <si>
    <t>304</t>
  </si>
  <si>
    <t>provizorní vodovod</t>
  </si>
  <si>
    <t>141</t>
  </si>
  <si>
    <t>Montáž vodovodních šoupátek ve výkopu DN 100</t>
  </si>
  <si>
    <t>Prstenec vyrovnávací šachetní TBW-Q.1 63/10</t>
  </si>
  <si>
    <t>440</t>
  </si>
  <si>
    <t>Odbočka kanal. PP SN8-10 D 315/160 45°</t>
  </si>
  <si>
    <t>Z99999_</t>
  </si>
  <si>
    <t>115001104R00</t>
  </si>
  <si>
    <t>33</t>
  </si>
  <si>
    <t>270</t>
  </si>
  <si>
    <t>ks 5 m</t>
  </si>
  <si>
    <t>258</t>
  </si>
  <si>
    <t>263</t>
  </si>
  <si>
    <t>SO_9_</t>
  </si>
  <si>
    <t>DPH 15%</t>
  </si>
  <si>
    <t>331</t>
  </si>
  <si>
    <t>Vodorovné značení dělicích čar 12 cm střík.barvou</t>
  </si>
  <si>
    <t>349</t>
  </si>
  <si>
    <t>ocelová chránička v protlaku</t>
  </si>
  <si>
    <t>78</t>
  </si>
  <si>
    <t>286550966</t>
  </si>
  <si>
    <t>(168,5-5*1,2)*0,364</t>
  </si>
  <si>
    <t>Pažení a rozepření stěn rýh - příložné - hl.do 2 m</t>
  </si>
  <si>
    <t>162403111R00</t>
  </si>
  <si>
    <t>Krycí list slepého rozpočtu</t>
  </si>
  <si>
    <t>120</t>
  </si>
  <si>
    <t>63</t>
  </si>
  <si>
    <t>891261111R00</t>
  </si>
  <si>
    <t>230</t>
  </si>
  <si>
    <t>žulové kostky 8-10</t>
  </si>
  <si>
    <t>-335,042-113,156-3,6</t>
  </si>
  <si>
    <t>Trubka kanalizační PP SN 10 630x3000mm</t>
  </si>
  <si>
    <t>cca 1,5 křížení na přípojku</t>
  </si>
  <si>
    <t>375</t>
  </si>
  <si>
    <t>03VRN_</t>
  </si>
  <si>
    <t>4+6</t>
  </si>
  <si>
    <t>5% ztratné</t>
  </si>
  <si>
    <t>1% ztratné</t>
  </si>
  <si>
    <t>3. zálivka do předání stavby</t>
  </si>
  <si>
    <t>184921093R00</t>
  </si>
  <si>
    <t>322</t>
  </si>
  <si>
    <t>154</t>
  </si>
  <si>
    <t>Koleno kanalizační PP SN 8-10 160/30°</t>
  </si>
  <si>
    <t>192</t>
  </si>
  <si>
    <t>na kovošrot Milevsko</t>
  </si>
  <si>
    <t>422</t>
  </si>
  <si>
    <t>132201210R00</t>
  </si>
  <si>
    <t>Š80 + Š100 +  Š přípojek</t>
  </si>
  <si>
    <t>Hloubení jamek 50% výměny půdy do 1 m3, svah 1:2</t>
  </si>
  <si>
    <t>722170804R00</t>
  </si>
  <si>
    <t>137</t>
  </si>
  <si>
    <t>324</t>
  </si>
  <si>
    <t>182301121R00</t>
  </si>
  <si>
    <t>74,12</t>
  </si>
  <si>
    <t>178</t>
  </si>
  <si>
    <t>+ odvoz dodatečného zásypu při realizaci SO 10x</t>
  </si>
  <si>
    <t>979990104R00</t>
  </si>
  <si>
    <t>Montáž trub z plastu, gumový kroužek, DN 800</t>
  </si>
  <si>
    <t>25</t>
  </si>
  <si>
    <t>195</t>
  </si>
  <si>
    <t>114211101R00</t>
  </si>
  <si>
    <t>kus</t>
  </si>
  <si>
    <t>Přeložení nebo složení výkopku z hor.1-4</t>
  </si>
  <si>
    <t>Odkopávky a prokopávky</t>
  </si>
  <si>
    <t>Zkouška těsnosti kanalizace DN do 300, vodou</t>
  </si>
  <si>
    <t>ověřit délku před objednáním</t>
  </si>
  <si>
    <t>Utěsnění chráničky manžetou DN 200</t>
  </si>
  <si>
    <t>115001103R00</t>
  </si>
  <si>
    <t>(214+151,3+114,4-16*1,2)*0,42</t>
  </si>
  <si>
    <t>Dodávky</t>
  </si>
  <si>
    <t>110*30</t>
  </si>
  <si>
    <t>SO 305_</t>
  </si>
  <si>
    <t>219</t>
  </si>
  <si>
    <t>1460 - odstranění ŠD chodník</t>
  </si>
  <si>
    <t>892581111R00</t>
  </si>
  <si>
    <t>Přípl.k dopravě vybour.trub za dalš.1 km,do DN 800</t>
  </si>
  <si>
    <t>Prstenec vyrovnávací šachetní TBW-Q.1 63/12</t>
  </si>
  <si>
    <t>DN 400 - šachty</t>
  </si>
  <si>
    <t>Kontrola kanalizace TV kamerou do 500 m</t>
  </si>
  <si>
    <t>46*3,25*2</t>
  </si>
  <si>
    <t>soustava</t>
  </si>
  <si>
    <t>42228254 - R</t>
  </si>
  <si>
    <t>Manžeta na chráničky EPDM 320 x 410 mm</t>
  </si>
  <si>
    <t>Sejmutí ornice, pl. do 400 m2, přemístění do 50 m</t>
  </si>
  <si>
    <t>9+13,4+12,1+11,9*2+12,4+7+4,8+5,5+6,1+7,6+6,4+5,2+3,4+3,2+6,3+3+3,7+7,9+8,1+2,9+8,2*2+3*3+7,8+7+4,7+</t>
  </si>
  <si>
    <t>Krycí list slepého rozpočtu (SO 100 - komunikace a zpevněné plochy)</t>
  </si>
  <si>
    <t>74910312</t>
  </si>
  <si>
    <t>1281,34*49</t>
  </si>
  <si>
    <t>Ostatní mat.</t>
  </si>
  <si>
    <t>292</t>
  </si>
  <si>
    <t>Rozbory- Rozbor stávající asf. vozovky - PAU - 4x vzorek.</t>
  </si>
  <si>
    <t>316735704</t>
  </si>
  <si>
    <t>Spojka rozebíratelná z PE d 32 mm</t>
  </si>
  <si>
    <t>HAWLE pas navrtávací 5250 DN 100 - 5/4" závitový</t>
  </si>
  <si>
    <t>130</t>
  </si>
  <si>
    <t>SO 800_8_</t>
  </si>
  <si>
    <t>Přechod PE - kov vnitřní závit 32 x 5/4"</t>
  </si>
  <si>
    <t>46*1*1,5*1</t>
  </si>
  <si>
    <t>Utěsnění přípojek do DN 200 při zkoušce kanal.</t>
  </si>
  <si>
    <t>materiál stávajících příp. není znám</t>
  </si>
  <si>
    <t>Cenová</t>
  </si>
  <si>
    <t>273443888</t>
  </si>
  <si>
    <t>044002VRN</t>
  </si>
  <si>
    <t>42273330 -R</t>
  </si>
  <si>
    <t>Protlak z ocel. trub beraněný, v hor.1-4, D 219 mm</t>
  </si>
  <si>
    <t>HAWLE souprava zemní č. 9601-voda, L=1,0-1,6 m</t>
  </si>
  <si>
    <t>Montáž přesuvek z plastu, gumový kroužek, DN 400</t>
  </si>
  <si>
    <t>281</t>
  </si>
  <si>
    <t>BE150</t>
  </si>
  <si>
    <t>310</t>
  </si>
  <si>
    <t>133</t>
  </si>
  <si>
    <t>rekonstrukce silnice dle požadavků SÚS</t>
  </si>
  <si>
    <t>SO 305</t>
  </si>
  <si>
    <t>Deska nosná šoupátkového poklopu</t>
  </si>
  <si>
    <t>Stavební úprava ulice včetně inž. sítí</t>
  </si>
  <si>
    <t>877252121R00</t>
  </si>
  <si>
    <t>254</t>
  </si>
  <si>
    <t>422915501</t>
  </si>
  <si>
    <t>175</t>
  </si>
  <si>
    <t>SO 304_4_</t>
  </si>
  <si>
    <t>170</t>
  </si>
  <si>
    <t>HSV prac</t>
  </si>
  <si>
    <t>Osazení betonových dílců šachet do 1,4 t</t>
  </si>
  <si>
    <t>-3,14*(106-5,5*1,24)*0,4*0,4</t>
  </si>
  <si>
    <t>10*1+10</t>
  </si>
  <si>
    <t>427*1,8</t>
  </si>
  <si>
    <t>495+153+250 asf. parkoviště hus. n. + chodníky asf</t>
  </si>
  <si>
    <t>139</t>
  </si>
  <si>
    <t>129</t>
  </si>
  <si>
    <t>dlažba parketa - přírodní 100x200x80</t>
  </si>
  <si>
    <t>998225311R00</t>
  </si>
  <si>
    <t>151</t>
  </si>
  <si>
    <t>dočasný zásyp do původní nivelety</t>
  </si>
  <si>
    <t>0,1*0,9*(426,8-4+7,3+5)</t>
  </si>
  <si>
    <t>Elektroinstalace</t>
  </si>
  <si>
    <t>Odstranění  sloupků dopravních značek z Al patek</t>
  </si>
  <si>
    <t>zásyp do úrovně původní nivelety vozovky</t>
  </si>
  <si>
    <t>- potrubí DN 300</t>
  </si>
  <si>
    <t>280,6*0,22</t>
  </si>
  <si>
    <t>2985</t>
  </si>
  <si>
    <t>Skruž šachetní TBS-Q.1 100/100/12 PS</t>
  </si>
  <si>
    <t>13</t>
  </si>
  <si>
    <t>181201102R00</t>
  </si>
  <si>
    <t>Lože pod potrubí z kameniva těženého 0 - 4 mm</t>
  </si>
  <si>
    <t>113106034RAB</t>
  </si>
  <si>
    <t>58381325</t>
  </si>
  <si>
    <t>Beton asfalt. ACL 16+ ložný, š. nad 3 m, tl. 7 cm</t>
  </si>
  <si>
    <t>358</t>
  </si>
  <si>
    <t>971026451R00</t>
  </si>
  <si>
    <t>289</t>
  </si>
  <si>
    <t>212810010RAD</t>
  </si>
  <si>
    <t>vejčitá 900/600</t>
  </si>
  <si>
    <t>Výřez a montáž tvarovky z plastu na potrubí DN 800</t>
  </si>
  <si>
    <t>nové pro šoupata</t>
  </si>
  <si>
    <t>DN 600, dno rýhy 1,4 m, úhel založení 120°, tl. 150</t>
  </si>
  <si>
    <t>895941111R00</t>
  </si>
  <si>
    <t>Vodorovná doprava vybour. hmot po suchu do 1 km</t>
  </si>
  <si>
    <t>392</t>
  </si>
  <si>
    <t>325</t>
  </si>
  <si>
    <t>610</t>
  </si>
  <si>
    <t>232</t>
  </si>
  <si>
    <t>potrubí</t>
  </si>
  <si>
    <t>"M"</t>
  </si>
  <si>
    <t>Pažení a rozepření stěn rýh - příložné - hl.do 4 m</t>
  </si>
  <si>
    <t>(426,8+7,3+5-166)*2</t>
  </si>
  <si>
    <t>Krycí list slepého rozpočtu (SO 100a - uznatelné náklady)</t>
  </si>
  <si>
    <t>295,3*1,01</t>
  </si>
  <si>
    <t>(106-5,5*1,2)*0,543</t>
  </si>
  <si>
    <t>pokud není přivaděč již demontován/odstaven</t>
  </si>
  <si>
    <t>892855115R00</t>
  </si>
  <si>
    <t>230193006R00</t>
  </si>
  <si>
    <t>po výstavbě</t>
  </si>
  <si>
    <t>3988,83*39</t>
  </si>
  <si>
    <t>330</t>
  </si>
  <si>
    <t>140</t>
  </si>
  <si>
    <t>97_</t>
  </si>
  <si>
    <t>2865447057</t>
  </si>
  <si>
    <t>KS</t>
  </si>
  <si>
    <t>max. počet přípojek na úseku, opakovaně použitelný materiál</t>
  </si>
  <si>
    <t>Postřik spojovací z KAE, množství zbytkového asfaltu 0,4 kg/m2</t>
  </si>
  <si>
    <t>894423111RT1</t>
  </si>
  <si>
    <t>877425121R00</t>
  </si>
  <si>
    <t>přípojky UV, LV a okapních svodů</t>
  </si>
  <si>
    <t>(125+317)*2</t>
  </si>
  <si>
    <t>Chem. odplevelení před založ. granulátem, v rovině</t>
  </si>
  <si>
    <t>SO 302_1_</t>
  </si>
  <si>
    <t>-3,14*0,62*0,62*2*16</t>
  </si>
  <si>
    <t>(168,5-5*1,2)*1,1*3</t>
  </si>
  <si>
    <t>148 + 5% rezerva</t>
  </si>
  <si>
    <t>2865447056</t>
  </si>
  <si>
    <t>180</t>
  </si>
  <si>
    <t>Cena/MJ</t>
  </si>
  <si>
    <t>Konec výstavby:</t>
  </si>
  <si>
    <t>899202111R00</t>
  </si>
  <si>
    <t>1*1</t>
  </si>
  <si>
    <t>409</t>
  </si>
  <si>
    <t>460,5</t>
  </si>
  <si>
    <t>H22_</t>
  </si>
  <si>
    <t>montáž svěrných T-kusů přípojek, svěrných T-kusů se záv. odbočkou</t>
  </si>
  <si>
    <t>stávající šachty</t>
  </si>
  <si>
    <t>127</t>
  </si>
  <si>
    <t>577132111R00</t>
  </si>
  <si>
    <t>(280,6-46*0,3)*1,1</t>
  </si>
  <si>
    <t>Kód</t>
  </si>
  <si>
    <t>S</t>
  </si>
  <si>
    <t>04VRN</t>
  </si>
  <si>
    <t>Jednot.</t>
  </si>
  <si>
    <t>43</t>
  </si>
  <si>
    <t>171206111R00</t>
  </si>
  <si>
    <t>200</t>
  </si>
  <si>
    <t>po odstranění 40 cm kce vozovky</t>
  </si>
  <si>
    <t>Zřízení kabelového lože v rýze š. do 65 cm z písku</t>
  </si>
  <si>
    <t>450</t>
  </si>
  <si>
    <t>286134112</t>
  </si>
  <si>
    <t>Dno šachetní přímé TBZ-Q.1 100/100 KOM V60</t>
  </si>
  <si>
    <t>obsyp DN 150</t>
  </si>
  <si>
    <t>540</t>
  </si>
  <si>
    <t>Lože pod potrubí z kameniva těženého 0 - 8 mm</t>
  </si>
  <si>
    <t>Protlak z ocel. trub beraněný, v hor.1-4, D 530 mm</t>
  </si>
  <si>
    <t>35*1,5*1*1,5</t>
  </si>
  <si>
    <t>02VRN</t>
  </si>
  <si>
    <t>243,448</t>
  </si>
  <si>
    <t>(2+2+16+2+2+35)*2</t>
  </si>
  <si>
    <t>235/5</t>
  </si>
  <si>
    <t>276</t>
  </si>
  <si>
    <t>442,6*0,9*1,7</t>
  </si>
  <si>
    <t>436</t>
  </si>
  <si>
    <t>389</t>
  </si>
  <si>
    <t>SO 305_9_</t>
  </si>
  <si>
    <t>Odstranění betonových trub do DN 150 mm, ve výkopu</t>
  </si>
  <si>
    <t>221</t>
  </si>
  <si>
    <t>435</t>
  </si>
  <si>
    <t>Úprava podloží a základové spáry</t>
  </si>
  <si>
    <t>Bourání konstrukcí z betonu prostého ve výkopu</t>
  </si>
  <si>
    <t>1/4*2</t>
  </si>
  <si>
    <t>213151121R00</t>
  </si>
  <si>
    <t>Hloubení pro podzemní stěny, ražení a hloubení důlní</t>
  </si>
  <si>
    <t>386</t>
  </si>
  <si>
    <t>MJ</t>
  </si>
  <si>
    <t>SO 301_9_</t>
  </si>
  <si>
    <t>(214+151,3+114,4-14+2)*2+2*0,9</t>
  </si>
  <si>
    <t>45</t>
  </si>
  <si>
    <t>985</t>
  </si>
  <si>
    <t>40</t>
  </si>
  <si>
    <t>4. zálivka</t>
  </si>
  <si>
    <t>Osazení poklopů litinových hydrantových</t>
  </si>
  <si>
    <t>Spojka kanalizační PP SN 8-10 D 400</t>
  </si>
  <si>
    <t>715,578</t>
  </si>
  <si>
    <t>319</t>
  </si>
  <si>
    <t>374</t>
  </si>
  <si>
    <t>provizorní přípojky</t>
  </si>
  <si>
    <t>Pohotovost čerp.soupravy, výška 10 m, přítok 500 l</t>
  </si>
  <si>
    <t>H22</t>
  </si>
  <si>
    <t>46*1,5*1,5*1</t>
  </si>
  <si>
    <t>130001101R00</t>
  </si>
  <si>
    <t>DN 800 - šachty</t>
  </si>
  <si>
    <t>Montáž tvarovek odboč. plast. gum. kroužek DN 300</t>
  </si>
  <si>
    <t>Doplňující konstrukce a práce na pozemních komunikacích a zpevněných plochách</t>
  </si>
  <si>
    <t>SO 800_</t>
  </si>
  <si>
    <t>Doplňkové náklady</t>
  </si>
  <si>
    <t>, montáž  vyp./napouštěc. kohoutů + demontáž</t>
  </si>
  <si>
    <t>veškeré potrubí mimo šachty; 10% ztratné; 2-3 vedle sebe</t>
  </si>
  <si>
    <t>998289093R00</t>
  </si>
  <si>
    <t>224</t>
  </si>
  <si>
    <t>SO 301_8_</t>
  </si>
  <si>
    <t>356</t>
  </si>
  <si>
    <t>Osazení poklopu s rámem do 100 kg</t>
  </si>
  <si>
    <t>132</t>
  </si>
  <si>
    <t>736,3+677,178-1053,69</t>
  </si>
  <si>
    <t>35*5</t>
  </si>
  <si>
    <t>495+57</t>
  </si>
  <si>
    <t>Zabezpečení konců kanal. potrubí DN do 400, vodou</t>
  </si>
  <si>
    <t>220</t>
  </si>
  <si>
    <t>Hloubení nezapaž. jam hor.3 do 1000 m3, STROJNĚ</t>
  </si>
  <si>
    <t>63,45*0,22</t>
  </si>
  <si>
    <t>572,04-532,826</t>
  </si>
  <si>
    <t>PSV prac</t>
  </si>
  <si>
    <t>HSV</t>
  </si>
  <si>
    <t>966006211R00</t>
  </si>
  <si>
    <t>892591111R00</t>
  </si>
  <si>
    <t>442,6*0,32</t>
  </si>
  <si>
    <t>10391100</t>
  </si>
  <si>
    <t>Postřik spojovací z KAE, množství zbytkového asfaltu 0,3 kg/m2</t>
  </si>
  <si>
    <t>180404111R00</t>
  </si>
  <si>
    <t>Fólie výstražná z PVC šedá, šířka 30 cm</t>
  </si>
  <si>
    <t>396</t>
  </si>
  <si>
    <t>(214+151,3+114,4-16*1,2)</t>
  </si>
  <si>
    <t>Nasunutí potrubní sekce do chráničky DN 400</t>
  </si>
  <si>
    <t>151101112R00</t>
  </si>
  <si>
    <t>9</t>
  </si>
  <si>
    <t>Odstranění pažení stěn rýh - příložné - hl. do 4 m</t>
  </si>
  <si>
    <t>230195041.R</t>
  </si>
  <si>
    <t>328</t>
  </si>
  <si>
    <t>342</t>
  </si>
  <si>
    <t>stávající kolena u stáv. hydrantů (bez nového mat.)</t>
  </si>
  <si>
    <t>Jáma stožáru A s patkou EZP, ve svahu, hor.3</t>
  </si>
  <si>
    <t>9/0,2</t>
  </si>
  <si>
    <t>320</t>
  </si>
  <si>
    <t>(280,6-46*0,6)*1*0,45</t>
  </si>
  <si>
    <t>SO100b_</t>
  </si>
  <si>
    <t>143</t>
  </si>
  <si>
    <t>104</t>
  </si>
  <si>
    <t>Různé dokončovací konstrukce a práce inženýrských staveb</t>
  </si>
  <si>
    <t>Vpusť k žlabu DN 100 polymerbetonová či betonová D400, litinový rošt</t>
  </si>
  <si>
    <t>Protlak z ocel. trub beraněný, v hor.1-4, D 426 mm</t>
  </si>
  <si>
    <t>Manžeta na chráničky EPDM 400 x 530 mm</t>
  </si>
  <si>
    <t>393</t>
  </si>
  <si>
    <t>Vodovodní přípojky</t>
  </si>
  <si>
    <t>15</t>
  </si>
  <si>
    <t>Montáž přesuvek z plastu, gumový kroužek, DN 600</t>
  </si>
  <si>
    <t>15/0,2</t>
  </si>
  <si>
    <t>59224373.A</t>
  </si>
  <si>
    <t>Montáž hydrantů podzemních DN 80</t>
  </si>
  <si>
    <t>95</t>
  </si>
  <si>
    <t>378</t>
  </si>
  <si>
    <t>Zabezpečení konců kanal. potrubí DN do 800, vodou</t>
  </si>
  <si>
    <t>ISWORK</t>
  </si>
  <si>
    <t>57_</t>
  </si>
  <si>
    <t>2*0,5*0,5*0,1</t>
  </si>
  <si>
    <t>Celkem včetně DPH</t>
  </si>
  <si>
    <t>vč. přípravy a zajištění zkušebních médií</t>
  </si>
  <si>
    <t>213151111R00</t>
  </si>
  <si>
    <t>14*1*0,8*1,5</t>
  </si>
  <si>
    <t>979084213R00</t>
  </si>
  <si>
    <t>142</t>
  </si>
  <si>
    <t>0,5*0,7*445*2</t>
  </si>
  <si>
    <t>0,9*(214+151,3+114,4-14)</t>
  </si>
  <si>
    <t>Podklad z obal kamen.ACP 22+, š.nad 3 m, tl. 9 cm</t>
  </si>
  <si>
    <t>Základ 0%</t>
  </si>
  <si>
    <t>252</t>
  </si>
  <si>
    <t>156</t>
  </si>
  <si>
    <t>286134119</t>
  </si>
  <si>
    <t>s otvorem DN 300 0,14m shora, čedičový obklad</t>
  </si>
  <si>
    <t>418</t>
  </si>
  <si>
    <t>odhad stávajících PE přípojek 50%</t>
  </si>
  <si>
    <t>199</t>
  </si>
  <si>
    <t>SO 100a_2_</t>
  </si>
  <si>
    <t>150</t>
  </si>
  <si>
    <t>572,04</t>
  </si>
  <si>
    <t>S_</t>
  </si>
  <si>
    <t>Zásyp jam,rýh a šachet štěrkopískem</t>
  </si>
  <si>
    <t>Hnojivo SLIVAMIX - Tablety</t>
  </si>
  <si>
    <t>10*1,5</t>
  </si>
  <si>
    <t>260</t>
  </si>
  <si>
    <t>Osazení betonových dílců šachet do 0,5 t</t>
  </si>
  <si>
    <t>121101101R00</t>
  </si>
  <si>
    <t>pod patky přesouvaných hydrantů</t>
  </si>
  <si>
    <t>510</t>
  </si>
  <si>
    <t>52</t>
  </si>
  <si>
    <t>118</t>
  </si>
  <si>
    <t>Drát tažený pozinkovaný 11 343  D 10,00 mm</t>
  </si>
  <si>
    <t>273443898</t>
  </si>
  <si>
    <t>113107222RAB</t>
  </si>
  <si>
    <t>-3,14*0,62*0,62*16*3,2</t>
  </si>
  <si>
    <t>odbočky přípojek UV a přípojek okapních svodů</t>
  </si>
  <si>
    <t>271</t>
  </si>
  <si>
    <t>02656031</t>
  </si>
  <si>
    <t>Deska zákrytová nádrže PNO 240/190/25 ZDP-14</t>
  </si>
  <si>
    <t>Poplatek za uložení asfaltové směsi obsahující dehet</t>
  </si>
  <si>
    <t>Rozebrání dlažeb ze zámkové dlažby v kamenivu</t>
  </si>
  <si>
    <t>Trubka tlaková  RC1 PE100 63x3,8 mm PN10</t>
  </si>
  <si>
    <t>51</t>
  </si>
  <si>
    <t>Mříž vtoková KM14P EUROPA D400 rovná 50/50</t>
  </si>
  <si>
    <t>Osaz.svislé dopr.značky a sloupku,Al patka, základ</t>
  </si>
  <si>
    <t>(426,8-4+7,3+5)*0,9*0,4</t>
  </si>
  <si>
    <t>286538080</t>
  </si>
  <si>
    <t>(214+151,3+114,4-16*1,2)*0,14</t>
  </si>
  <si>
    <t>Milevsko</t>
  </si>
  <si>
    <t>227</t>
  </si>
  <si>
    <t>Přesuny sutí</t>
  </si>
  <si>
    <t>269</t>
  </si>
  <si>
    <t>401</t>
  </si>
  <si>
    <t>Mont prac</t>
  </si>
  <si>
    <t>Výřez a montáž tvarovky zplastu na potrubí DN 600</t>
  </si>
  <si>
    <t>46*1,5*1</t>
  </si>
  <si>
    <t>Objímka distanční PEHD 100-111 mm</t>
  </si>
  <si>
    <t>44</t>
  </si>
  <si>
    <t>Beton C 16/20 - X0 - Dmax 22 mm - S2 - struskoportlandský CEM II</t>
  </si>
  <si>
    <t>Koleno 15° d110 SDR11 PE100RC PN16</t>
  </si>
  <si>
    <t>532,27*30</t>
  </si>
  <si>
    <t>Krycí list slepého rozpočtu (SO 800 - sadové úpravy)</t>
  </si>
  <si>
    <t>Příplatek k odvozu za každý další 1 km</t>
  </si>
  <si>
    <t>877162121R00</t>
  </si>
  <si>
    <t>stávající potrubí</t>
  </si>
  <si>
    <t>15*2,2</t>
  </si>
  <si>
    <t>Přípojky jednotné kanalizace</t>
  </si>
  <si>
    <t>h</t>
  </si>
  <si>
    <t>SO_Z_</t>
  </si>
  <si>
    <t>426,8+7,3+5</t>
  </si>
  <si>
    <t>22*1*1,5*1</t>
  </si>
  <si>
    <t>rýha dno 1,2, pažená, pro DN 400</t>
  </si>
  <si>
    <t>Zkoušky - 8x kontrolní zkouška zať deskou</t>
  </si>
  <si>
    <t>Štěrkodrtě frakce 0-32 A</t>
  </si>
  <si>
    <t>359</t>
  </si>
  <si>
    <t>Elektrotvarovka - spojka d32</t>
  </si>
  <si>
    <t>23</t>
  </si>
  <si>
    <t>Trubka kanalizační PP SN 10 630x6000mm</t>
  </si>
  <si>
    <t>SO 301_1_</t>
  </si>
  <si>
    <t>pro provizorní přípojky, opakovaně použitelný mat.</t>
  </si>
  <si>
    <t>896211211R00</t>
  </si>
  <si>
    <t>917862111RV3</t>
  </si>
  <si>
    <t>262</t>
  </si>
  <si>
    <t>58380129</t>
  </si>
  <si>
    <t>128</t>
  </si>
  <si>
    <t>SO 100a_9_</t>
  </si>
  <si>
    <t>Potrubí z trub litinových</t>
  </si>
  <si>
    <t>DN400</t>
  </si>
  <si>
    <t>dna šachet</t>
  </si>
  <si>
    <t>5,2</t>
  </si>
  <si>
    <t>59</t>
  </si>
  <si>
    <t>-375,482-154,7267-3,6</t>
  </si>
  <si>
    <t>250</t>
  </si>
  <si>
    <t>28_</t>
  </si>
  <si>
    <t>Krycí list slepého rozpočtu (SO 301 - Dešťová kanalizace)</t>
  </si>
  <si>
    <t>rekonstrukce vozovky v rýze</t>
  </si>
  <si>
    <t>282</t>
  </si>
  <si>
    <t>Utěsnění chráničky manžetou DN 400/300</t>
  </si>
  <si>
    <t>109</t>
  </si>
  <si>
    <t>t</t>
  </si>
  <si>
    <t>429</t>
  </si>
  <si>
    <t>355</t>
  </si>
  <si>
    <t>894423114R00</t>
  </si>
  <si>
    <t>117</t>
  </si>
  <si>
    <t>877393122R00</t>
  </si>
  <si>
    <t>silniční obruby včetně obrubníku 100/15/30</t>
  </si>
  <si>
    <t>2185,2</t>
  </si>
  <si>
    <t> </t>
  </si>
  <si>
    <t>162701109R00</t>
  </si>
  <si>
    <t>53</t>
  </si>
  <si>
    <t>246</t>
  </si>
  <si>
    <t>150,13</t>
  </si>
  <si>
    <t>Žlab odvodňovací polymerbeton či beton, zatížení D400 kN</t>
  </si>
  <si>
    <t>295</t>
  </si>
  <si>
    <t>857242121R00</t>
  </si>
  <si>
    <t>99</t>
  </si>
  <si>
    <t>273443897</t>
  </si>
  <si>
    <t>161</t>
  </si>
  <si>
    <t>Průzkumy, geodetické a projektové práce</t>
  </si>
  <si>
    <t>892673111R00</t>
  </si>
  <si>
    <t>- šachty</t>
  </si>
  <si>
    <t>979999976R00</t>
  </si>
  <si>
    <t>pod zatrubněnou vodotečí, přesah 1,5 m</t>
  </si>
  <si>
    <t>107</t>
  </si>
  <si>
    <t>012002VRN</t>
  </si>
  <si>
    <t>243</t>
  </si>
  <si>
    <t>16*1,5*1,5*0,1</t>
  </si>
  <si>
    <t>Výkup kovů - litina, velikost nad 40 x 40 cm</t>
  </si>
  <si>
    <t>405</t>
  </si>
  <si>
    <t>915701111R00</t>
  </si>
  <si>
    <t>ocelový chránič kmene</t>
  </si>
  <si>
    <t>Lavička MONA s opěradlem 1700x650x690 mm akát/kov</t>
  </si>
  <si>
    <t>59224353.A</t>
  </si>
  <si>
    <t>115101201R00</t>
  </si>
  <si>
    <t>01VRN_</t>
  </si>
  <si>
    <t>125</t>
  </si>
  <si>
    <t>Koleno 45° elektrosvařovací ELGEF Plus d 110 mm</t>
  </si>
  <si>
    <t>SO 303_1_</t>
  </si>
  <si>
    <t>168,5-5*1,2</t>
  </si>
  <si>
    <t>577131111R00</t>
  </si>
  <si>
    <t>část započtena u řadu</t>
  </si>
  <si>
    <t>Tvar. hrdl.s přír.odb. MMA DN100/ 80 PN 16, jištěná hrdla</t>
  </si>
  <si>
    <t>419,13*0,22</t>
  </si>
  <si>
    <t>DN 300</t>
  </si>
  <si>
    <t>výška spadiště 0,9m; sv. výška dna 1,35 m</t>
  </si>
  <si>
    <t>42293250</t>
  </si>
  <si>
    <t>Desinfekce vodovodního potrubí do DN 70</t>
  </si>
  <si>
    <t>230180021R00</t>
  </si>
  <si>
    <t>Výplň dutin cementopopílkovou suspenzí</t>
  </si>
  <si>
    <t>JKSO:</t>
  </si>
  <si>
    <t>odhad</t>
  </si>
  <si>
    <t>399</t>
  </si>
  <si>
    <t>45_</t>
  </si>
  <si>
    <t>Přesun hmot, oprava komunikací, kryt živič. a bet.</t>
  </si>
  <si>
    <t>85</t>
  </si>
  <si>
    <t>měřeno na osu (rezerva), neznámá poloha</t>
  </si>
  <si>
    <t>286144827</t>
  </si>
  <si>
    <t>564851111RT2</t>
  </si>
  <si>
    <t>26,5</t>
  </si>
  <si>
    <t>Dilatační spáry řezané příčné 9 mm,zalití za tepla</t>
  </si>
  <si>
    <t>64</t>
  </si>
  <si>
    <t>Vybourání otv. zeď kam. pl. 0,25 m2, tl. 45 cm, MC</t>
  </si>
  <si>
    <t>894421112R00</t>
  </si>
  <si>
    <t>422935304</t>
  </si>
  <si>
    <t>18_</t>
  </si>
  <si>
    <t>SO 304_1_</t>
  </si>
  <si>
    <t>ochraný násyp na provizorní vodovod</t>
  </si>
  <si>
    <t>896290111R00</t>
  </si>
  <si>
    <t>255</t>
  </si>
  <si>
    <t>28655303</t>
  </si>
  <si>
    <t>před bouráním</t>
  </si>
  <si>
    <t>výkopy</t>
  </si>
  <si>
    <t>60517100</t>
  </si>
  <si>
    <t>lože pro DN 150, rýha 0,8, založení 120°</t>
  </si>
  <si>
    <t>7+6+5+5,5+3+3+3-7*0,5</t>
  </si>
  <si>
    <t>197</t>
  </si>
  <si>
    <t>odláždění poklopu šachty v zeleni</t>
  </si>
  <si>
    <t>Geotextilie FILTEK 300 g/m2 ze 100% PP</t>
  </si>
  <si>
    <t>zhotovení otvoru do stávající OK</t>
  </si>
  <si>
    <t>329</t>
  </si>
  <si>
    <t>SO 800_2_</t>
  </si>
  <si>
    <t>715,578*30</t>
  </si>
  <si>
    <t>Geotextilie tkaná Geolon PET 100, role 5 x 300 m</t>
  </si>
  <si>
    <t>Odstranění asfaltové vrstvy pl.nad 50 m2, tl.10 cm</t>
  </si>
  <si>
    <t>2,1*1,9*0,3</t>
  </si>
  <si>
    <t>zálivka do doby předání stavby</t>
  </si>
  <si>
    <t>mezi dnem, skružemi a konusem</t>
  </si>
  <si>
    <t>Montáž výložníku pro svítidlo 1 ramenný nad 35 kg</t>
  </si>
  <si>
    <t>12_</t>
  </si>
  <si>
    <t>Montáž přesuvek z plastu, gumový kroužek, DN 300</t>
  </si>
  <si>
    <t>77</t>
  </si>
  <si>
    <t>210204104RS2</t>
  </si>
  <si>
    <t>Tlaková zkouška vodovodního potrubí do DN 125</t>
  </si>
  <si>
    <t>Ochranný nátěr kmene před teplotními vlivy (ARBO-FLEX) včetně  dodávky nátěru</t>
  </si>
  <si>
    <t>233</t>
  </si>
  <si>
    <t>721242116R00</t>
  </si>
  <si>
    <t>442,6*1,7*2</t>
  </si>
  <si>
    <t>Prstenec vyrovnávací šachetní TBW-Q.1 63/8</t>
  </si>
  <si>
    <t>TBV-Q 45/65 SZ 15 PVC skruž vpusti DN 450</t>
  </si>
  <si>
    <t>DN celkem</t>
  </si>
  <si>
    <t>přípojky</t>
  </si>
  <si>
    <t>Vodorovné značení proužků š.25 cm střík.barvou</t>
  </si>
  <si>
    <t>162401102R00</t>
  </si>
  <si>
    <t>SO 800</t>
  </si>
  <si>
    <t>444</t>
  </si>
  <si>
    <t>421</t>
  </si>
  <si>
    <t>Komunikace pozemní a letiště</t>
  </si>
  <si>
    <t>Založení hřišťového trávníku výsevem na ornici</t>
  </si>
  <si>
    <t>592238712</t>
  </si>
  <si>
    <t>286</t>
  </si>
  <si>
    <t>892583111R00</t>
  </si>
  <si>
    <t>286144835</t>
  </si>
  <si>
    <t>Zásyp jam, rýh, šachet se zhutněním</t>
  </si>
  <si>
    <t>116</t>
  </si>
  <si>
    <t>GROUPCODE</t>
  </si>
  <si>
    <t>odstranění 20cm</t>
  </si>
  <si>
    <t>230180069R00</t>
  </si>
  <si>
    <t>146</t>
  </si>
  <si>
    <t>186,4*1,2+168,5*1,4+(106-23,2)*1,8</t>
  </si>
  <si>
    <t>Vodorovná doprava vybour.trub do 1 km, do DN 800</t>
  </si>
  <si>
    <t>pohyb mat. pro ochranný násyp provizorního vodovodu</t>
  </si>
  <si>
    <t>0</t>
  </si>
  <si>
    <t>SO304.1_1_</t>
  </si>
  <si>
    <t>182</t>
  </si>
  <si>
    <t>894423111R00</t>
  </si>
  <si>
    <t>597101113RT1</t>
  </si>
  <si>
    <t>Odbočka sedlová na hladké potrubí DN 400 až 800, odbočka DN 160</t>
  </si>
  <si>
    <t>Provozní vlivy</t>
  </si>
  <si>
    <t>181300012RAA</t>
  </si>
  <si>
    <t>979999979R00</t>
  </si>
  <si>
    <t>5</t>
  </si>
  <si>
    <t>Kladení dlažby velké kostky, lože z MC tl. 5 cm</t>
  </si>
  <si>
    <t>280,6*0,04</t>
  </si>
  <si>
    <t>892916111R00</t>
  </si>
  <si>
    <t>Trubka kabelová chránička KOPODUR KD 09125</t>
  </si>
  <si>
    <t>nátěřy</t>
  </si>
  <si>
    <t>59224358.A</t>
  </si>
  <si>
    <t>871373121R00</t>
  </si>
  <si>
    <t>203</t>
  </si>
  <si>
    <t>394</t>
  </si>
  <si>
    <t>Příplatek k vod. přemístění hor.1-4 za další 1 km</t>
  </si>
  <si>
    <t>příčky + úvazky</t>
  </si>
  <si>
    <t>565151111R00</t>
  </si>
  <si>
    <t>6,7+4,1+6,8+3,3+8,5+2,6+2,4+6,8+2+6,8+6,7+3+3+6,4+6,4+2,6+6,4+3,2+4,1+7,5+5,7</t>
  </si>
  <si>
    <t>280,6*1*0,4</t>
  </si>
  <si>
    <t>497*1,2+12,5*1,2*3,2</t>
  </si>
  <si>
    <t>248</t>
  </si>
  <si>
    <t>(186,4+12,5-4,5*1,2)*0,62</t>
  </si>
  <si>
    <t>591141111R00</t>
  </si>
  <si>
    <t>59224346</t>
  </si>
  <si>
    <t>183102221R00</t>
  </si>
  <si>
    <t>SO304.1</t>
  </si>
  <si>
    <t>573231123R00</t>
  </si>
  <si>
    <t>1504,84</t>
  </si>
  <si>
    <t>16+9+40</t>
  </si>
  <si>
    <t>144</t>
  </si>
  <si>
    <t>416</t>
  </si>
  <si>
    <t>264</t>
  </si>
  <si>
    <t>Druh stavby:</t>
  </si>
  <si>
    <t>Přípravné a přidružené práce</t>
  </si>
  <si>
    <t>892593111R00</t>
  </si>
  <si>
    <t>Zabezpečovací práce - archeologický dohled</t>
  </si>
  <si>
    <t>26,91</t>
  </si>
  <si>
    <t>TBV-10/a prstenec</t>
  </si>
  <si>
    <t>SO 305_8_</t>
  </si>
  <si>
    <t>Zpevňování hornin a konstrukcí</t>
  </si>
  <si>
    <t>162</t>
  </si>
  <si>
    <t>lože DN 300, rýha š 0,9, založení 120°</t>
  </si>
  <si>
    <t>Elektrotvarovka - koleno 30°  FRIALEN W30 d110</t>
  </si>
  <si>
    <t>SO_</t>
  </si>
  <si>
    <t>16+1</t>
  </si>
  <si>
    <t>891269111R00</t>
  </si>
  <si>
    <t>Kabel CYKY-m 750 V 5 žil,4 až 25 mm2,volně uložený</t>
  </si>
  <si>
    <t>238</t>
  </si>
  <si>
    <t>dopravy vody pro zálivku</t>
  </si>
  <si>
    <t>96</t>
  </si>
  <si>
    <t>316</t>
  </si>
  <si>
    <t>231SADVD</t>
  </si>
  <si>
    <t>333</t>
  </si>
  <si>
    <t>Zpracováno dne:</t>
  </si>
  <si>
    <t>919726212R00</t>
  </si>
  <si>
    <t>003VD</t>
  </si>
  <si>
    <t>462</t>
  </si>
  <si>
    <t>55244411</t>
  </si>
  <si>
    <t>552700804</t>
  </si>
  <si>
    <t>302</t>
  </si>
  <si>
    <t>230195007R00</t>
  </si>
  <si>
    <t>provizorní vodovod, opakovaně použitelný materiál</t>
  </si>
  <si>
    <t>299</t>
  </si>
  <si>
    <t>455</t>
  </si>
  <si>
    <t>Montáž tvarovek litin. jednoos.přír. výkop DN 80</t>
  </si>
  <si>
    <t>202</t>
  </si>
  <si>
    <t>231_</t>
  </si>
  <si>
    <t>230193010R00</t>
  </si>
  <si>
    <t>420</t>
  </si>
  <si>
    <t>58922151</t>
  </si>
  <si>
    <t>OK 12-14, vysokokmen (výška nasazení koruny 220cm), termín výsadby 05-07 (strom z dovozu, produkce z</t>
  </si>
  <si>
    <t>Trubka kanalizační PP SN 10 400x3000mm</t>
  </si>
  <si>
    <t>10*0,9*1*1,5+10*0,45*1,5</t>
  </si>
  <si>
    <t>194</t>
  </si>
  <si>
    <t>353</t>
  </si>
  <si>
    <t>Odstranění podkladu nad 50 m2,kam.drcené tl.30 cm</t>
  </si>
  <si>
    <t>Trubka OC s podél. svarem   426x8 mm</t>
  </si>
  <si>
    <t>včetně obrubníku  100/10/25</t>
  </si>
  <si>
    <t>deska - hm dl. kamenná</t>
  </si>
  <si>
    <t>Silniční provoz - DIO, DIR a dopravní značení</t>
  </si>
  <si>
    <t>215901101R00</t>
  </si>
  <si>
    <t>bude užita přechodka dle skutečného mat. přípojky</t>
  </si>
  <si>
    <t>Ražení a hloubení tunelářské</t>
  </si>
  <si>
    <t>74,12*39</t>
  </si>
  <si>
    <t>14362522</t>
  </si>
  <si>
    <t>31.10.2024</t>
  </si>
  <si>
    <t>2*227,5</t>
  </si>
  <si>
    <t>10% ztratné</t>
  </si>
  <si>
    <t>BE900/600</t>
  </si>
  <si>
    <t>10</t>
  </si>
  <si>
    <t>212</t>
  </si>
  <si>
    <t>286134111</t>
  </si>
  <si>
    <t>max. počet přípojek na provizorním úseku, opakovaně použitelný mat.</t>
  </si>
  <si>
    <t>183403153R00</t>
  </si>
  <si>
    <t>149</t>
  </si>
  <si>
    <t>183400022RAA</t>
  </si>
  <si>
    <t>8,2</t>
  </si>
  <si>
    <t>zalití rostli do doby předání st.</t>
  </si>
  <si>
    <t>58</t>
  </si>
  <si>
    <t>915711111RT2</t>
  </si>
  <si>
    <t>454</t>
  </si>
  <si>
    <t>Krycí list slepého rozpočtu (SO 302 - Přeložka jednotné kanalizace)</t>
  </si>
  <si>
    <t>284</t>
  </si>
  <si>
    <t>36</t>
  </si>
  <si>
    <t>M46</t>
  </si>
  <si>
    <t>Zhutnění podloží z hornin nesoudržných do 92% PS</t>
  </si>
  <si>
    <t>113108410R00</t>
  </si>
  <si>
    <t>427</t>
  </si>
  <si>
    <t>1460 - odst. chodníky z. dl.</t>
  </si>
  <si>
    <t>Krycí list slepého rozpočtu (SO - Veřejné osvětlení - úprava)</t>
  </si>
  <si>
    <t>693650460</t>
  </si>
  <si>
    <t>892571111R00</t>
  </si>
  <si>
    <t>14</t>
  </si>
  <si>
    <t>VORN - Vedlejší a ostatní rozpočtové náklady</t>
  </si>
  <si>
    <t>31</t>
  </si>
  <si>
    <t>10% ztratné, bez protlaku</t>
  </si>
  <si>
    <t>423</t>
  </si>
  <si>
    <t>84</t>
  </si>
  <si>
    <t>SO100b_9_</t>
  </si>
  <si>
    <t>305</t>
  </si>
  <si>
    <t>60850025</t>
  </si>
  <si>
    <t>001</t>
  </si>
  <si>
    <t>SO 100a_5_</t>
  </si>
  <si>
    <t>Zřízení vodorovného značení z nátěr.hmot tl.do 3mm</t>
  </si>
  <si>
    <t>Množství</t>
  </si>
  <si>
    <t>442</t>
  </si>
  <si>
    <t>(6+4+6)*2*1*2</t>
  </si>
  <si>
    <t>38</t>
  </si>
  <si>
    <t>430</t>
  </si>
  <si>
    <t>50*0,9*0,2</t>
  </si>
  <si>
    <t>Neuznatelné náklady</t>
  </si>
  <si>
    <t>2865447053</t>
  </si>
  <si>
    <t>Osaz. bet. dílců šachet, prefbrikátů, do 5,0 t</t>
  </si>
  <si>
    <t>369</t>
  </si>
  <si>
    <t>ostré křížení s přivaděčem (pokud již nebude odstraněn)</t>
  </si>
  <si>
    <t>Demontáž rozvodů vody z plastů do D 63</t>
  </si>
  <si>
    <t>286144833</t>
  </si>
  <si>
    <t>Čerpání vody na výšku do 10 m, přítok do 500 l/min</t>
  </si>
  <si>
    <t>25 -</t>
  </si>
  <si>
    <t>Řezání stávajícího živičného krytu tl. 5 - 10 cm</t>
  </si>
  <si>
    <t>stoka D2 a D3</t>
  </si>
  <si>
    <t>(280,6-46*0,3)*0,136</t>
  </si>
  <si>
    <t>174</t>
  </si>
  <si>
    <t>Montáž elektrovýzbroje stožáru pro 1 okruh</t>
  </si>
  <si>
    <t>286144832</t>
  </si>
  <si>
    <t>35*1,5</t>
  </si>
  <si>
    <t>184202111R00</t>
  </si>
  <si>
    <t>286553441</t>
  </si>
  <si>
    <t>přebytek = výkop - zásyp</t>
  </si>
  <si>
    <t>366,525</t>
  </si>
  <si>
    <t>Úprava pláně v zářezech v hor. 1-4, se zhutněním</t>
  </si>
  <si>
    <t>2+14+2</t>
  </si>
  <si>
    <t>21_</t>
  </si>
  <si>
    <t>Vnitřní vodovod</t>
  </si>
  <si>
    <t>Typ skupiny</t>
  </si>
  <si>
    <t>73</t>
  </si>
  <si>
    <t>Poklop KA 01 BEGU D 605 mm "A1" PARK A15</t>
  </si>
  <si>
    <t>pod šachty</t>
  </si>
  <si>
    <t>dlažba hmatová -reliefní</t>
  </si>
  <si>
    <t>47*1,5*2</t>
  </si>
  <si>
    <t>do stěn stávající zatrubněné vodoteče</t>
  </si>
  <si>
    <t>Stupadla šacht. vidlicová oceloplast, vysek. beton</t>
  </si>
  <si>
    <t>Přesun hmot pro sadovnické a krajin. úpravy do 5km</t>
  </si>
  <si>
    <t>0,895</t>
  </si>
  <si>
    <t>16*2*1*3</t>
  </si>
  <si>
    <t>410</t>
  </si>
  <si>
    <t>Spojka kanalizační PP SN 8-10 D 630</t>
  </si>
  <si>
    <t>2185,2-1713,07</t>
  </si>
  <si>
    <t>256</t>
  </si>
  <si>
    <t>Zemní práce při montážích</t>
  </si>
  <si>
    <t>Kůra mulčovací VL</t>
  </si>
  <si>
    <t>přípojky bez výkopu vodovodu, rýha š 0,9</t>
  </si>
  <si>
    <t>Zabezpečení konců kanal. potrubí DN do 600, vodou</t>
  </si>
  <si>
    <t>SO 800_ _</t>
  </si>
  <si>
    <t>(295-47*0,2)*1,1</t>
  </si>
  <si>
    <t>28+24+14</t>
  </si>
  <si>
    <t>Spojka hrdlo, redukovaná  č. 7974, DN 100/80, PN 16</t>
  </si>
  <si>
    <t>363</t>
  </si>
  <si>
    <t>577162124R00</t>
  </si>
  <si>
    <t>Dočasné zajištění kabelů - do počtu 3 kabelů</t>
  </si>
  <si>
    <t>5+3+5</t>
  </si>
  <si>
    <t>Revize VO</t>
  </si>
  <si>
    <t>HAWLE poklop k podz. hydrantu 1950 - voda</t>
  </si>
  <si>
    <t>188</t>
  </si>
  <si>
    <t>rýha ve stáv. asf. vozovce místní PK</t>
  </si>
  <si>
    <t>odhad pro části přípojek v chodníku z dlažby.</t>
  </si>
  <si>
    <t>Lapač střešních splavenin litinový DN 125</t>
  </si>
  <si>
    <t>56</t>
  </si>
  <si>
    <t>Montáž trubek polyetylenových ve výkopu d 110 mm</t>
  </si>
  <si>
    <t>106-5,5*1,2</t>
  </si>
  <si>
    <t>2865447054</t>
  </si>
  <si>
    <t>722_</t>
  </si>
  <si>
    <t>040001VRN</t>
  </si>
  <si>
    <t>892271111R00</t>
  </si>
  <si>
    <t>19</t>
  </si>
  <si>
    <t>582</t>
  </si>
  <si>
    <t>Zalití rostlin vodou plochy nad 20 m2</t>
  </si>
  <si>
    <t>C</t>
  </si>
  <si>
    <t>(177-130)*0,2*0,2*3,1415</t>
  </si>
  <si>
    <t>286538121</t>
  </si>
  <si>
    <t>SO 302_9_</t>
  </si>
  <si>
    <t>Náklady (Kč)</t>
  </si>
  <si>
    <t>936451111R00</t>
  </si>
  <si>
    <t>721</t>
  </si>
  <si>
    <t>110</t>
  </si>
  <si>
    <t>Krycí list slepého rozpočtu (SO 304 - Přeložka vodovodního řadu)</t>
  </si>
  <si>
    <t>892663111R00</t>
  </si>
  <si>
    <t>Spojka kanalizační PP SN 8-10 D 315</t>
  </si>
  <si>
    <t>39</t>
  </si>
  <si>
    <t>30</t>
  </si>
  <si>
    <t>Skruž šachetní TBS-Q.1 100/25/12 PS</t>
  </si>
  <si>
    <t>241</t>
  </si>
  <si>
    <t>- potrubí DN 600</t>
  </si>
  <si>
    <t>Ostatní konstrukce a práce na trubním vedení</t>
  </si>
  <si>
    <t>IČO/DIČ:</t>
  </si>
  <si>
    <t>596040011RA0</t>
  </si>
  <si>
    <t>47*1,5*0,9</t>
  </si>
  <si>
    <t>Ostatní</t>
  </si>
  <si>
    <t>364</t>
  </si>
  <si>
    <t>433</t>
  </si>
  <si>
    <t>Odstranění asfaltobetonové vozovky pl. nad 50 m2</t>
  </si>
  <si>
    <t>86</t>
  </si>
  <si>
    <t>289971211R00</t>
  </si>
  <si>
    <t>278</t>
  </si>
  <si>
    <t>222</t>
  </si>
  <si>
    <t>141741119R00</t>
  </si>
  <si>
    <t>979081121R00</t>
  </si>
  <si>
    <t>Koš odpadkový VINCENT 71 l  360x410x1000mm s víkem</t>
  </si>
  <si>
    <t>16*1*1,5</t>
  </si>
  <si>
    <t>877395121R00</t>
  </si>
  <si>
    <t>55</t>
  </si>
  <si>
    <t>402</t>
  </si>
  <si>
    <t>(106-5,5*1,2)*1,23</t>
  </si>
  <si>
    <t>210201533R00</t>
  </si>
  <si>
    <t>370</t>
  </si>
  <si>
    <t>030001VRN</t>
  </si>
  <si>
    <t>871251121R00</t>
  </si>
  <si>
    <t>Montáž trub kanaliz. z plastu, hrdlových, DN 400</t>
  </si>
  <si>
    <t>Zpracoval:</t>
  </si>
  <si>
    <t>-85,5225-24,435</t>
  </si>
  <si>
    <t>D1 (je hluběji)</t>
  </si>
  <si>
    <t>372</t>
  </si>
  <si>
    <t>+419,13*0,4</t>
  </si>
  <si>
    <t>69366198</t>
  </si>
  <si>
    <t>Kryty štěrkových a živičných pozemních komunikací a zpevněných ploch</t>
  </si>
  <si>
    <t>76</t>
  </si>
  <si>
    <t>Montáž trub kanaliz. z plastu, hrdlových, DN 300</t>
  </si>
  <si>
    <t>290</t>
  </si>
  <si>
    <t>453</t>
  </si>
  <si>
    <t>346</t>
  </si>
  <si>
    <t>Soubor</t>
  </si>
  <si>
    <t>Odstranění asfaltové vrstvy pl.nad 50 m2, tl.11 cm</t>
  </si>
  <si>
    <t>21*0,92</t>
  </si>
  <si>
    <t>315</t>
  </si>
  <si>
    <t>597103112RT1</t>
  </si>
  <si>
    <t>Projektové práce - skutečné provedení</t>
  </si>
  <si>
    <t>043002VRN</t>
  </si>
  <si>
    <t>914001121RT6</t>
  </si>
  <si>
    <t>informační cedule křižovatka</t>
  </si>
  <si>
    <t>439,1*1,01</t>
  </si>
  <si>
    <t>kompletní dodávka včetně závlahového systému</t>
  </si>
  <si>
    <t>151101111R00</t>
  </si>
  <si>
    <t>29*1*0,8*1,5</t>
  </si>
  <si>
    <t>207</t>
  </si>
  <si>
    <t>Přesun hmot, trubní vedení plastová, otevř. výkop</t>
  </si>
  <si>
    <t>Zhotovitel</t>
  </si>
  <si>
    <t>380</t>
  </si>
  <si>
    <t>ŠD - vjezdy BD + chodník</t>
  </si>
  <si>
    <t>Provizorní vodovod s přípojkami</t>
  </si>
  <si>
    <t>199000002R00</t>
  </si>
  <si>
    <t>Kůl vyvazovací 250 x 8 cm</t>
  </si>
  <si>
    <t>608,62*0,4</t>
  </si>
  <si>
    <t>-obsyp -lože -desky</t>
  </si>
  <si>
    <t>RTS I / 2023</t>
  </si>
  <si>
    <t>19,8+26,2+3,8+1,8+9,8+5,7+2+3,7+5,5+9,2+7+10,3+2,4+2,8+6,9+4,9+2,8+2,7+4,8+7+4,8+3+2,5+7,5+6,1+5,4</t>
  </si>
  <si>
    <t>210810017RT3</t>
  </si>
  <si>
    <t>190</t>
  </si>
  <si>
    <t>(186,4-3,5*1)</t>
  </si>
  <si>
    <t>SO 301_</t>
  </si>
  <si>
    <t>979990261R00</t>
  </si>
  <si>
    <t>Montáž distanční objímky segmentových d 301-320 mm</t>
  </si>
  <si>
    <t>2</t>
  </si>
  <si>
    <t>Projektant:</t>
  </si>
  <si>
    <t>ORN celkem</t>
  </si>
  <si>
    <t>84*0,4*1,5</t>
  </si>
  <si>
    <t>966631111R00</t>
  </si>
  <si>
    <t>286144826</t>
  </si>
  <si>
    <t/>
  </si>
  <si>
    <t>2. zálivka - do předání st.</t>
  </si>
  <si>
    <t>Osazení mříží litinových s rámem do 100kg</t>
  </si>
  <si>
    <t>SO 302_8_</t>
  </si>
  <si>
    <t>309</t>
  </si>
  <si>
    <t>152</t>
  </si>
  <si>
    <t>17</t>
  </si>
  <si>
    <t>013002VRN</t>
  </si>
  <si>
    <t>cca 50% nových pro šoupátka</t>
  </si>
  <si>
    <t>Odstranění zám.dlažby 6 cm vč.podkladu, přes 50 m2</t>
  </si>
  <si>
    <t>Montáž trubních dílů PE, PP, D 63</t>
  </si>
  <si>
    <t>406</t>
  </si>
  <si>
    <t>966006215R00</t>
  </si>
  <si>
    <t>použít ochranu kemene - dle zadání MU - Milevsko 3x
Ocelový chránič kmene typ Máneska č.02-12</t>
  </si>
  <si>
    <t>DN 600 - šachty</t>
  </si>
  <si>
    <t>98</t>
  </si>
  <si>
    <t>112</t>
  </si>
  <si>
    <t>15_</t>
  </si>
  <si>
    <t>Demontáž potrubí litinového hrdlového DN 100</t>
  </si>
  <si>
    <t>Ocelový chránič kmene typ Máneska č.02-12</t>
  </si>
  <si>
    <t>021002VRN</t>
  </si>
  <si>
    <t>21</t>
  </si>
  <si>
    <t>(426,8-50+7,3+5)*0,9</t>
  </si>
  <si>
    <t>451572111R00</t>
  </si>
  <si>
    <t>Obdělání půdy hrabáním, v rovině</t>
  </si>
  <si>
    <t>59224366.A</t>
  </si>
  <si>
    <t>113107620R00</t>
  </si>
  <si>
    <t>445</t>
  </si>
  <si>
    <t>891241111R00</t>
  </si>
  <si>
    <t>délku ověřte na stavbě před objednáním</t>
  </si>
  <si>
    <t>611*0,9+7,3*2*0,9+5*2*0,9</t>
  </si>
  <si>
    <t>Měření intenzity osvětlení</t>
  </si>
  <si>
    <t>892233111R00</t>
  </si>
  <si>
    <t>351</t>
  </si>
  <si>
    <t>odvoz betonového odpadu</t>
  </si>
  <si>
    <t>362</t>
  </si>
  <si>
    <t>113202111R00</t>
  </si>
  <si>
    <t>55243342.A</t>
  </si>
  <si>
    <t>Koleno přírubové Duktus FFK DN 100-30° EWS</t>
  </si>
  <si>
    <t>286144829</t>
  </si>
  <si>
    <t>Práce přesčas</t>
  </si>
  <si>
    <t>565161212R00</t>
  </si>
  <si>
    <t>Malta cementová zdicí a správková pro kanalizace ERGELIT-SBM</t>
  </si>
  <si>
    <t>193,5+162,5+99,4+6</t>
  </si>
  <si>
    <t>Montáž trubek polyetylenových ve výkopu d 32 mm</t>
  </si>
  <si>
    <t>899401113R00</t>
  </si>
  <si>
    <t>210201528R00</t>
  </si>
  <si>
    <t>910</t>
  </si>
  <si>
    <t>Těsnění spár krytu vozovky zálivkou za studena</t>
  </si>
  <si>
    <t>61</t>
  </si>
  <si>
    <t>SO 302_</t>
  </si>
  <si>
    <t>345</t>
  </si>
  <si>
    <t>47*5</t>
  </si>
  <si>
    <t>313</t>
  </si>
  <si>
    <t>(295-47*0,5)*1,5*0,9</t>
  </si>
  <si>
    <t>pohyb mat. pro ochranný násyp</t>
  </si>
  <si>
    <t>59224347.A</t>
  </si>
  <si>
    <t>47*0,5</t>
  </si>
  <si>
    <t>HAWLE souprava zemní 9500E2 DN50 -100, 1,3-1,8m</t>
  </si>
  <si>
    <t>119001421R00</t>
  </si>
  <si>
    <t>368</t>
  </si>
  <si>
    <t>126</t>
  </si>
  <si>
    <t>124</t>
  </si>
  <si>
    <t>na ŠD</t>
  </si>
  <si>
    <t>174101101R00</t>
  </si>
  <si>
    <t>H00</t>
  </si>
  <si>
    <t>Montáže potrubí</t>
  </si>
  <si>
    <t>07VRN</t>
  </si>
  <si>
    <t>158</t>
  </si>
  <si>
    <t>459</t>
  </si>
  <si>
    <t>12</t>
  </si>
  <si>
    <t>650106221R00</t>
  </si>
  <si>
    <t>01VRN</t>
  </si>
  <si>
    <t>Chodník dlážděný D2-D-1-CH-PII a PIII</t>
  </si>
  <si>
    <t>max. počet vyp./nap. kohoutů na provizorní úsek, opakovně použitelný mat.</t>
  </si>
  <si>
    <t>Odstranění dlažby z kostek vč.podkladu, nad 50 m2</t>
  </si>
  <si>
    <t>234</t>
  </si>
  <si>
    <t>185851111R00</t>
  </si>
  <si>
    <t>186,4-3,5*1,2+12,5-1,2</t>
  </si>
  <si>
    <t>Kulturní památka</t>
  </si>
  <si>
    <t>Objekt</t>
  </si>
  <si>
    <t>28655334</t>
  </si>
  <si>
    <t>168</t>
  </si>
  <si>
    <t>Bourání konstrukcí</t>
  </si>
  <si>
    <t>306</t>
  </si>
  <si>
    <t>463</t>
  </si>
  <si>
    <t>Koš kalový vysoký UA4V</t>
  </si>
  <si>
    <t>DPH 21%</t>
  </si>
  <si>
    <t>573231124R00</t>
  </si>
  <si>
    <t>298</t>
  </si>
  <si>
    <t>Chodník z dlažby zámkové, podklad štěrkodrť</t>
  </si>
  <si>
    <t>184</t>
  </si>
  <si>
    <t>249</t>
  </si>
  <si>
    <t>458</t>
  </si>
  <si>
    <t>hutnění podkladní vrstvy pod boxy</t>
  </si>
  <si>
    <t>odhad 50% stávajících přípojek je z PE</t>
  </si>
  <si>
    <t>181101102R00</t>
  </si>
  <si>
    <t>134</t>
  </si>
  <si>
    <t>460420022RT2</t>
  </si>
  <si>
    <t>případně atyp na míru</t>
  </si>
  <si>
    <t>odhad stávajících OC přípojek 50%</t>
  </si>
  <si>
    <t>Odbočka přírub. T  DN 100x100 PN 10-40</t>
  </si>
  <si>
    <t>211</t>
  </si>
  <si>
    <t>Osazení lež.obrub.kamen. bez opěr, lože z C 12/15</t>
  </si>
  <si>
    <t>917131111RT2</t>
  </si>
  <si>
    <t>196</t>
  </si>
  <si>
    <t>podél SO 302 pouze jednostranně</t>
  </si>
  <si>
    <t>koleno za sedlovou odbočku navrtanou do stoky shora pod úhlem cca 30°</t>
  </si>
  <si>
    <t>SO 304_9_</t>
  </si>
  <si>
    <t>592238711</t>
  </si>
  <si>
    <t>Trubka kanalizační PP SN 10 400x6000mm</t>
  </si>
  <si>
    <t>318</t>
  </si>
  <si>
    <t>SO 301_72_</t>
  </si>
  <si>
    <t>Přesun hmot, kabelovody, příplatek do 2 km</t>
  </si>
  <si>
    <t>Elektromontáže</t>
  </si>
  <si>
    <t>Převedení vody potrubím o průměru do DN 150 mm</t>
  </si>
  <si>
    <t>(7,3+5)*2*2</t>
  </si>
  <si>
    <t>Geodetické práce</t>
  </si>
  <si>
    <t>979084313R00</t>
  </si>
  <si>
    <t>Odstranění betonových trub do DN 500 mm, ve výkopu</t>
  </si>
  <si>
    <t>Vrtání jádrové do ŽB do D 300 mm</t>
  </si>
  <si>
    <t>919735112R00</t>
  </si>
  <si>
    <t>131201112R00</t>
  </si>
  <si>
    <t>371</t>
  </si>
  <si>
    <t>Deska přechodová zákrytová TZK-Q.1 120-100/25</t>
  </si>
  <si>
    <t>367</t>
  </si>
  <si>
    <t>187</t>
  </si>
  <si>
    <t>ORN celkem z obj.</t>
  </si>
  <si>
    <t>Poplatek za skládku suti - beton nad 30x30 cm</t>
  </si>
  <si>
    <t>lože pro DN 150</t>
  </si>
  <si>
    <t>317</t>
  </si>
  <si>
    <t>Osazení betonových dílců šachet</t>
  </si>
  <si>
    <t>Dešťová kanalizace</t>
  </si>
  <si>
    <t>191</t>
  </si>
  <si>
    <t>odbočky pro stáv. hydranty</t>
  </si>
  <si>
    <t>SO 800_Z_</t>
  </si>
  <si>
    <t>Podkladní a vedlejší konstrukce (kromě vozovek a železničního svršku)</t>
  </si>
  <si>
    <t>(295-47*0,5)*0,9*0,1</t>
  </si>
  <si>
    <t>404</t>
  </si>
  <si>
    <t>442,6*0,11</t>
  </si>
  <si>
    <t>TBV-Q 45/57 SH skruž dešťové vpusti DN 450</t>
  </si>
  <si>
    <t>49</t>
  </si>
  <si>
    <t>72</t>
  </si>
  <si>
    <t>13*1,5</t>
  </si>
  <si>
    <t>899102111R00</t>
  </si>
  <si>
    <t>(106-5,5*1,2)*1,1*3</t>
  </si>
  <si>
    <t>899401112R00</t>
  </si>
  <si>
    <t>275</t>
  </si>
  <si>
    <t>(106-5,5*1)</t>
  </si>
  <si>
    <t>mříž ochrana stromů - kruhová ochranná mříž 150cm</t>
  </si>
  <si>
    <t>19_</t>
  </si>
  <si>
    <t>Lať surová SM jakost I-II tl. 30 - 40 mm, š. 50 - 60 mm, 0,50 - 0,75 m</t>
  </si>
  <si>
    <t>Přesuny</t>
  </si>
  <si>
    <t>MAT</t>
  </si>
  <si>
    <t>SO 303_</t>
  </si>
  <si>
    <t>42200760</t>
  </si>
  <si>
    <t>58344169</t>
  </si>
  <si>
    <t>267</t>
  </si>
  <si>
    <t>3360,83</t>
  </si>
  <si>
    <t>70</t>
  </si>
  <si>
    <t>pohyby materiálu na ochranný násyp z a na mezideponii</t>
  </si>
  <si>
    <t>0,9+7,1+0,8+7,6+6+4,2+5,8+4,2+1,3+5,1+2,2+5,6+2+5,6+5,3+1,5+4+5,6+5,3+6+4+1,5+18,5+4+1,5</t>
  </si>
  <si>
    <t>277</t>
  </si>
  <si>
    <t>8</t>
  </si>
  <si>
    <t>Celkem:</t>
  </si>
  <si>
    <t>hmatová dlažba  - zámková dlažba parketa 100x200x60 - barva červená</t>
  </si>
  <si>
    <t>Mimostav. doprava</t>
  </si>
  <si>
    <t>Rozprostření ornice v rovině tloušťka 20 cm</t>
  </si>
  <si>
    <t>266</t>
  </si>
  <si>
    <t>Těsnění elastom pro šach díly EMT - DN 1000</t>
  </si>
  <si>
    <t>18</t>
  </si>
  <si>
    <t>DN celkem z obj.</t>
  </si>
  <si>
    <t>156,636</t>
  </si>
  <si>
    <t>452311131R00</t>
  </si>
  <si>
    <t>46</t>
  </si>
  <si>
    <t>přípočet na šachty</t>
  </si>
  <si>
    <t>892661111R00</t>
  </si>
  <si>
    <t>181</t>
  </si>
  <si>
    <t>434</t>
  </si>
  <si>
    <t>TBV-Q 45/30 SS skruž dešťové vpusti DN 450</t>
  </si>
  <si>
    <t>- šachty prům hl. 3,2 m</t>
  </si>
  <si>
    <t>214</t>
  </si>
  <si>
    <t>Směs travní hřištní I. - střední zátěž PROFI</t>
  </si>
  <si>
    <t>SO 302_5_</t>
  </si>
  <si>
    <t>TerraCottem fyzikální půdní kondicionér po 20 kg</t>
  </si>
  <si>
    <t>385</t>
  </si>
  <si>
    <t>857264121R00</t>
  </si>
  <si>
    <t>provizorní řady</t>
  </si>
  <si>
    <t>(180-25)*0,3*0,3*3,1415</t>
  </si>
  <si>
    <t>176</t>
  </si>
  <si>
    <t>100</t>
  </si>
  <si>
    <t>108</t>
  </si>
  <si>
    <t>všechna nová</t>
  </si>
  <si>
    <t>50</t>
  </si>
  <si>
    <t>Odstranění trubkového nástavce včetně značky</t>
  </si>
  <si>
    <t>150,13*30</t>
  </si>
  <si>
    <t>397</t>
  </si>
  <si>
    <t>340</t>
  </si>
  <si>
    <t>167101103R00</t>
  </si>
  <si>
    <t>Svítidlo LED světlomet venkovní</t>
  </si>
  <si>
    <t>Utěsnění chráničky manžetou DN 400/500</t>
  </si>
  <si>
    <t>314</t>
  </si>
  <si>
    <t>m</t>
  </si>
  <si>
    <t>373</t>
  </si>
  <si>
    <t>998289011R00</t>
  </si>
  <si>
    <t>1,197*2,7</t>
  </si>
  <si>
    <t>odhad pro části příp. ve stáv. asf. chodníku</t>
  </si>
  <si>
    <t>Inženýrské činnosti</t>
  </si>
  <si>
    <t>592243501</t>
  </si>
  <si>
    <t>217</t>
  </si>
  <si>
    <t>Montáž tvarovek litin. jednoos. přír. výkop DN 100</t>
  </si>
  <si>
    <t>rýha ve stáv. asf. vozovce mimo protlak, odhad. tl.</t>
  </si>
  <si>
    <t>SO100b_5_</t>
  </si>
  <si>
    <t>225</t>
  </si>
  <si>
    <t>04VRN_</t>
  </si>
  <si>
    <t>-113,85-36,28</t>
  </si>
  <si>
    <t>Přemístění výkopku</t>
  </si>
  <si>
    <t>573111115R00</t>
  </si>
  <si>
    <t>591040111RA0</t>
  </si>
  <si>
    <t>zhotovení otvorů do stávající zatrub. vodoteče</t>
  </si>
  <si>
    <t>1*0,3</t>
  </si>
  <si>
    <t>zredukování z d110 na d63 provizorního vodovodu</t>
  </si>
  <si>
    <t>11</t>
  </si>
  <si>
    <t>398</t>
  </si>
  <si>
    <t>42291515</t>
  </si>
  <si>
    <t>Veřejné osvětlení - úprava</t>
  </si>
  <si>
    <t>Vodorovné přemístění výkopku z hor.1-4 do 10000 m</t>
  </si>
  <si>
    <t>240</t>
  </si>
  <si>
    <t>66*3*0,9*1,5*1</t>
  </si>
  <si>
    <t>32</t>
  </si>
  <si>
    <t>119001401R00</t>
  </si>
  <si>
    <t>Spojka kanalizační PP SN 8-10 D 800</t>
  </si>
  <si>
    <t>Příprava půdy pro výsadbu, ve svahu, strojní</t>
  </si>
  <si>
    <t>-156,64-39,16-0,05</t>
  </si>
  <si>
    <t>Odstranění dřevin výš.nad 1m, svah 1:2, bez pařezu</t>
  </si>
  <si>
    <t>přebytek výkop - zásyp</t>
  </si>
  <si>
    <t>460050513R00</t>
  </si>
  <si>
    <t>Objednatel:</t>
  </si>
  <si>
    <t>204</t>
  </si>
  <si>
    <t>BE600</t>
  </si>
  <si>
    <t>Nasunutí potrubní sekce do chráničky DN 500</t>
  </si>
  <si>
    <t>390</t>
  </si>
  <si>
    <t>2865447006</t>
  </si>
  <si>
    <t>Osazení betonových dílců šachet do 2,0 t</t>
  </si>
  <si>
    <t>894421111R00</t>
  </si>
  <si>
    <t>výřez v místní komunikaci jednostranný (2. strany viz SO 301)</t>
  </si>
  <si>
    <t>části přípojek v zeleni</t>
  </si>
  <si>
    <t>2980,4</t>
  </si>
  <si>
    <t>(125+317+175+130)*0,9</t>
  </si>
  <si>
    <t>Montáž sadového osvětlovacího stožáru - ocelový</t>
  </si>
  <si>
    <t>592238718</t>
  </si>
  <si>
    <t>rýha dno 0,9</t>
  </si>
  <si>
    <t>458 dní</t>
  </si>
  <si>
    <t>PSV mat</t>
  </si>
  <si>
    <t>300</t>
  </si>
  <si>
    <t>(168,5-5*1,2)*0,82</t>
  </si>
  <si>
    <t>280</t>
  </si>
  <si>
    <t>Zřízení vrstvy z geotextilie sklon do 1:5 š.do 3 m</t>
  </si>
  <si>
    <t>1260</t>
  </si>
  <si>
    <t>Odstranění doprav. značky ze sloupů nebo konzolí</t>
  </si>
  <si>
    <t>4x pro DN 400</t>
  </si>
  <si>
    <t>Dočasné zajištění ocelového potrubí DN 200-500 mm</t>
  </si>
  <si>
    <t>4,7</t>
  </si>
  <si>
    <t>280,6*1*2,6-46*0,6*1*2,6</t>
  </si>
  <si>
    <t>230194011R00</t>
  </si>
  <si>
    <t>273</t>
  </si>
  <si>
    <t>Příprava staveniště</t>
  </si>
  <si>
    <t>3</t>
  </si>
  <si>
    <t>Prstenec vyrovnávací šachetní TBW-Q.1 63/4</t>
  </si>
  <si>
    <t>Obalení vsakovacích bloků geotextílií</t>
  </si>
  <si>
    <t>DN 800, dno rýhy 1,8 m, úhel založení 120°, tl. 150</t>
  </si>
  <si>
    <t>Roubení</t>
  </si>
  <si>
    <t>Zakotvení/odkotvení vodičů,stožárů 1duchého ved.</t>
  </si>
  <si>
    <t>592238720</t>
  </si>
  <si>
    <t>85_</t>
  </si>
  <si>
    <t>13*0,9*1*1,5</t>
  </si>
  <si>
    <t>308</t>
  </si>
  <si>
    <t>998276101R00</t>
  </si>
  <si>
    <t>114211212R00</t>
  </si>
  <si>
    <t>383</t>
  </si>
  <si>
    <t>102</t>
  </si>
  <si>
    <t>184802115R00</t>
  </si>
  <si>
    <t>Konus šachetní TBR-Q.1 100-63/58/12 KPS</t>
  </si>
  <si>
    <t>Výška stožáru i typ svítidla + výložník totožný s již použitými svítidli ul Sokolovská a Hus. náměstí.
Na Husově náměstí jsou u přechodů pro chodce osazeny svítidla LED výška 6,0M.
U poliliniky dojde pouze k přemístění svítidel.
U ostatních přechodů dojde k doplnění VO viz. PD. 
Svítidlo pro přechody pro chodce - typu zebra výška 6M. . Dle TKP 15  - u přechodů pro chodce telota chromatičnosti 1,5 násobek oproti ostatním svítidlům.</t>
  </si>
  <si>
    <t>Zhotovitel:</t>
  </si>
  <si>
    <t>311,5</t>
  </si>
  <si>
    <t>žulová deska 40x40 - slepecká úprava přechod</t>
  </si>
  <si>
    <t>175101101RT2</t>
  </si>
  <si>
    <t>SO100b_Z_</t>
  </si>
  <si>
    <t>Naložení a odvoz zeminy</t>
  </si>
  <si>
    <t>6,3+5,9+3*3+5,7+6,6*2+2,9+6,4+2,7+6,2+3,4+6,8+7,5+4+8,3+10,3</t>
  </si>
  <si>
    <t>M46_</t>
  </si>
  <si>
    <t>Krycí list slepého rozpočtu (SO100b - Neuznatelné náklady)</t>
  </si>
  <si>
    <t>výřez ve vozovce místní komunikace (š. cca 6,5 m)</t>
  </si>
  <si>
    <t>96_</t>
  </si>
  <si>
    <t>877423122R00</t>
  </si>
  <si>
    <t>295*1,05</t>
  </si>
  <si>
    <t>Montáž odvodňovacího žlabu - polymerbeton D 400</t>
  </si>
  <si>
    <t>210061221R00</t>
  </si>
  <si>
    <t>Beton asfalt. ACO 11+ obrusný, š.nad 3 m, tl. 4 cm</t>
  </si>
  <si>
    <t>4,7*2</t>
  </si>
  <si>
    <t>Trubka kanalizační PP SN 10 315x6000mm</t>
  </si>
  <si>
    <t>296</t>
  </si>
  <si>
    <t>650511211R00</t>
  </si>
  <si>
    <t>Komunikace dlážděné D2-D-1-V-PII</t>
  </si>
  <si>
    <t>35</t>
  </si>
  <si>
    <t>M65</t>
  </si>
  <si>
    <t>Začátek výstavby:</t>
  </si>
  <si>
    <t>SO100b</t>
  </si>
  <si>
    <t>388</t>
  </si>
  <si>
    <t>381</t>
  </si>
  <si>
    <t>Spojka hrdlová jištěná, s přírubou (č. 7994), DN100,PN 16</t>
  </si>
  <si>
    <t>395</t>
  </si>
  <si>
    <t>132101213R00</t>
  </si>
  <si>
    <t>(7+3+4)*1</t>
  </si>
  <si>
    <t>573111121R00</t>
  </si>
  <si>
    <t>Přeložka vodovodního řadu</t>
  </si>
  <si>
    <t>+3,2319+1,6</t>
  </si>
  <si>
    <t>vč. montáží šoupat a zemních souprav</t>
  </si>
  <si>
    <t>SO 303</t>
  </si>
  <si>
    <t>286144820</t>
  </si>
  <si>
    <t>A</t>
  </si>
  <si>
    <t>2*46</t>
  </si>
  <si>
    <t>287</t>
  </si>
  <si>
    <t>208</t>
  </si>
  <si>
    <t>+1% ztratné</t>
  </si>
  <si>
    <t>Přeložka jednotné kanalizace</t>
  </si>
  <si>
    <t>185804312R00</t>
  </si>
  <si>
    <t>SO304.1_9_</t>
  </si>
  <si>
    <t>Mont mat</t>
  </si>
  <si>
    <t>167101102R00</t>
  </si>
  <si>
    <t>45*0,02</t>
  </si>
  <si>
    <t>163</t>
  </si>
  <si>
    <t>113108411R00</t>
  </si>
  <si>
    <t>195,85*30</t>
  </si>
  <si>
    <t>13_</t>
  </si>
  <si>
    <t>Uložení zemin do násypů předeps. tvarů s urovnáním</t>
  </si>
  <si>
    <t>Mulčování rostlin tl. do 0,1 m rovina</t>
  </si>
  <si>
    <t>722</t>
  </si>
  <si>
    <t>Přesunutí či úprava polohy stávajících VO</t>
  </si>
  <si>
    <t>121101100R00</t>
  </si>
  <si>
    <t>2*6</t>
  </si>
  <si>
    <t>Převedení vody potrubím o průměru do DN 300 mm</t>
  </si>
  <si>
    <t>59224361.A</t>
  </si>
  <si>
    <t>do 3 km celkem</t>
  </si>
  <si>
    <t>274</t>
  </si>
  <si>
    <t>Slepý stavební rozpočet</t>
  </si>
  <si>
    <t>407</t>
  </si>
  <si>
    <t>93</t>
  </si>
  <si>
    <t>ponechaná vejčitá trouba 900/600</t>
  </si>
  <si>
    <t>z toho 1 s čedičovým obkladem 360°</t>
  </si>
  <si>
    <t>285</t>
  </si>
  <si>
    <t>279</t>
  </si>
  <si>
    <t>(186,4+12,5-4,5*1,2)*0,215</t>
  </si>
  <si>
    <t>SO 100a_1_</t>
  </si>
  <si>
    <t>uznatelné náklady</t>
  </si>
  <si>
    <t>871161121R00</t>
  </si>
  <si>
    <t>173</t>
  </si>
  <si>
    <t>SO 100a_</t>
  </si>
  <si>
    <t>157</t>
  </si>
  <si>
    <t>311</t>
  </si>
  <si>
    <t>1865,5</t>
  </si>
  <si>
    <t>55340397</t>
  </si>
  <si>
    <t>101</t>
  </si>
  <si>
    <t>1. zálivka po realizaci</t>
  </si>
  <si>
    <t>10391505.A</t>
  </si>
  <si>
    <t>Podkladní vrstvy komunikací a zpevněných ploch</t>
  </si>
  <si>
    <t>75</t>
  </si>
  <si>
    <t>Nasunutí potrubní sekce do chráničky DN 200</t>
  </si>
  <si>
    <t>366</t>
  </si>
  <si>
    <t>Podklad z obal kam.ACP 16+,ACP 22+,do 3 m,tl. 7 cm</t>
  </si>
  <si>
    <t>54</t>
  </si>
  <si>
    <t>Zkouška těsnosti kanalizace DN do 600, vodou</t>
  </si>
  <si>
    <t>205</t>
  </si>
  <si>
    <t xml:space="preserve"> </t>
  </si>
  <si>
    <t>M23_</t>
  </si>
  <si>
    <t>Stavební úprava ul. Sokolovská</t>
  </si>
  <si>
    <t>0,4*0,9*(426,8-4+7,3+5)</t>
  </si>
  <si>
    <t>16_</t>
  </si>
  <si>
    <t>Postřik infiltrační, množství zbytkového asfaltového pojiva 0,60 kg/m2</t>
  </si>
  <si>
    <t>136</t>
  </si>
  <si>
    <t>153</t>
  </si>
  <si>
    <t>rýha pro potrubí v zeleni</t>
  </si>
  <si>
    <t>892241111R00</t>
  </si>
  <si>
    <t>odbočka do ul. Č. Holase</t>
  </si>
  <si>
    <t>441</t>
  </si>
  <si>
    <t>SO 302_4_</t>
  </si>
  <si>
    <t>55243098</t>
  </si>
  <si>
    <t>namístou dvou skruží v 0,5 bude jedna skruž v 1,0m s otvorem pro DN 300</t>
  </si>
  <si>
    <t>387</t>
  </si>
  <si>
    <t>Vytrhání obrub obrubníků silničních</t>
  </si>
  <si>
    <t>2*5</t>
  </si>
  <si>
    <t>2374</t>
  </si>
  <si>
    <t>Prstenec vyrovnávací šachetní TBW-Q.1 63/6</t>
  </si>
  <si>
    <t>334</t>
  </si>
  <si>
    <t>123</t>
  </si>
  <si>
    <t>3457114726</t>
  </si>
  <si>
    <t>plocha z PP * 2 stěny</t>
  </si>
  <si>
    <t>+ odvoz dodatečného zásypu při odhalování zemní pláně</t>
  </si>
  <si>
    <t>159</t>
  </si>
  <si>
    <t>38+8+2+2+2+12+6</t>
  </si>
  <si>
    <t>Dočasné zajištění ocelového potrubí do DN 200 mm</t>
  </si>
  <si>
    <t>(186,4-3,5*1,2)*1,1*2</t>
  </si>
  <si>
    <t>přechody + symboly</t>
  </si>
  <si>
    <t>na mezideponii, likvidace/recyklace viz rozpočet SO 10x</t>
  </si>
  <si>
    <t>Převedení vody potrubím o průměru do DN 200 mm</t>
  </si>
  <si>
    <t>1,6</t>
  </si>
  <si>
    <t>Kryty pozemních komunikací, letišť a ploch dlážděných (předlažby)</t>
  </si>
  <si>
    <t>891247111R00</t>
  </si>
  <si>
    <t>Zapojení LED svítidla ve skříni</t>
  </si>
  <si>
    <t>T-kus PE s vnitřním závitem d 63 x 2"</t>
  </si>
  <si>
    <t>kg</t>
  </si>
  <si>
    <t>SO304.1_8_</t>
  </si>
  <si>
    <t>403</t>
  </si>
  <si>
    <t>59224348.A</t>
  </si>
  <si>
    <t>Objednatel</t>
  </si>
  <si>
    <t>286134607</t>
  </si>
  <si>
    <t>30*2,5*0,2</t>
  </si>
  <si>
    <t>57</t>
  </si>
  <si>
    <t>257</t>
  </si>
  <si>
    <t>(Kč)</t>
  </si>
  <si>
    <t>4*2</t>
  </si>
  <si>
    <t>Podklad ze štěrkodrti po zhutnění tloušťky 15 cm</t>
  </si>
  <si>
    <t>SO 301_5_</t>
  </si>
  <si>
    <t>6+8+8+8+2</t>
  </si>
  <si>
    <t>Montáž trub z plastu, gumový kroužek, DN 150</t>
  </si>
  <si>
    <t>072002VRN</t>
  </si>
  <si>
    <t>871423121R00</t>
  </si>
  <si>
    <t>22</t>
  </si>
  <si>
    <t>mat. příčky a úvazky</t>
  </si>
  <si>
    <t>u stáv. hydrantů (bez nového materiálu)</t>
  </si>
  <si>
    <t>-3,14*(186,4+12,5-4,5*1,24)*0,2*0,2</t>
  </si>
  <si>
    <t>115</t>
  </si>
  <si>
    <t>894421111RT1</t>
  </si>
  <si>
    <t>Územní vlivy</t>
  </si>
  <si>
    <t>998231311R00</t>
  </si>
  <si>
    <t>919722212R00</t>
  </si>
  <si>
    <t>vybourání stávajícího stropu vodoteče</t>
  </si>
  <si>
    <t>Poplatek za skládku horniny 1- 4</t>
  </si>
  <si>
    <t>55259952</t>
  </si>
  <si>
    <t>SO100b_ _</t>
  </si>
  <si>
    <t>m3</t>
  </si>
  <si>
    <t>650125223R00</t>
  </si>
  <si>
    <t>Odstranění pažení stěn rýh - příložné - hl. do 2 m</t>
  </si>
  <si>
    <t>115101301R00</t>
  </si>
  <si>
    <t>265</t>
  </si>
  <si>
    <t>259</t>
  </si>
  <si>
    <t>411</t>
  </si>
  <si>
    <t>Montáž trub kanaliz. z plastu, hrdlových, DN 150</t>
  </si>
  <si>
    <t>Zkouška těsnosti kanalizace DN do 400, vodou</t>
  </si>
  <si>
    <t>(483+497+427+13*3,2*2)*2</t>
  </si>
  <si>
    <t>141741122R00</t>
  </si>
  <si>
    <t>Datum:</t>
  </si>
  <si>
    <t>91_</t>
  </si>
  <si>
    <t>07VRN_</t>
  </si>
  <si>
    <t>HAWLE poklop uliční šoupátkový 1750  - voda</t>
  </si>
  <si>
    <t>215</t>
  </si>
  <si>
    <t>2865350015</t>
  </si>
  <si>
    <t>27</t>
  </si>
  <si>
    <t>(186,4+168,5+106-23,2+12,5)*1</t>
  </si>
  <si>
    <t>obsyp pro DN 150</t>
  </si>
  <si>
    <t>Sejmutí ornice s přemístěním do 50 m</t>
  </si>
  <si>
    <t>SO 303_9_</t>
  </si>
  <si>
    <t>37</t>
  </si>
  <si>
    <t>80</t>
  </si>
  <si>
    <t>+167,65</t>
  </si>
  <si>
    <t>m2</t>
  </si>
  <si>
    <t>41</t>
  </si>
  <si>
    <t>7*6+12+4</t>
  </si>
  <si>
    <t>337</t>
  </si>
  <si>
    <t>59_</t>
  </si>
  <si>
    <t>Bau-projekt spol s.r.o. Jan Hyliš</t>
  </si>
  <si>
    <t>877313123R00</t>
  </si>
  <si>
    <t>186</t>
  </si>
  <si>
    <t>Přesun hmot a sutí</t>
  </si>
  <si>
    <t>NUS z rozpočtu</t>
  </si>
  <si>
    <t>55258534</t>
  </si>
  <si>
    <t>Desinfekce vodovodního potrubí DN 80-125</t>
  </si>
  <si>
    <t>251</t>
  </si>
  <si>
    <t>včetně kamen. obrubníku OP 2  30 x 20</t>
  </si>
  <si>
    <t>rýha dno 1,8, pažená, pro DN 800</t>
  </si>
  <si>
    <t>Postřik infiltrační s posypem, asfalt 2,5 kg/m2</t>
  </si>
  <si>
    <t>657,8</t>
  </si>
  <si>
    <t>59224349.A</t>
  </si>
  <si>
    <t>422935323</t>
  </si>
  <si>
    <t>1</t>
  </si>
  <si>
    <t>odhad tl. podkladu, použije se na zásyp</t>
  </si>
  <si>
    <t>460</t>
  </si>
  <si>
    <t>206</t>
  </si>
  <si>
    <t>608,62</t>
  </si>
  <si>
    <t>7</t>
  </si>
  <si>
    <t>Osazení mříží litinových s rámem do 150kg</t>
  </si>
  <si>
    <t>zákrytová deska u napojení D2/vodoteč</t>
  </si>
  <si>
    <t>(40+85)*0,45*1,5</t>
  </si>
  <si>
    <t>236</t>
  </si>
  <si>
    <t>1 dno z celk. 16 uvedeno jako prefa spadiště</t>
  </si>
  <si>
    <t>Rozměry</t>
  </si>
  <si>
    <t>-3,14*(168,5-5*1,24)*0,3*0,3</t>
  </si>
  <si>
    <t>119001402R00</t>
  </si>
  <si>
    <t>321</t>
  </si>
  <si>
    <t>rýha š 0,9, úhel založení 120°</t>
  </si>
  <si>
    <t>Montáž navrtávacích pasů DN 100</t>
  </si>
  <si>
    <t>zastropení vodoteče</t>
  </si>
  <si>
    <t>449</t>
  </si>
  <si>
    <t>výřez otvoru a montáž dodatečné odbočky</t>
  </si>
  <si>
    <t>SO 304</t>
  </si>
  <si>
    <t>Dno šachetní přímé TBZ-Q.1 100/60 V40, CV</t>
  </si>
  <si>
    <t>350</t>
  </si>
  <si>
    <t>5,4+6,1+3,5+3+7,6+6,3+4,8+4,4</t>
  </si>
  <si>
    <t>74</t>
  </si>
  <si>
    <t>Položek:</t>
  </si>
  <si>
    <t>NUS celkem</t>
  </si>
  <si>
    <t>(608,62+69)*0,22</t>
  </si>
  <si>
    <t>WORK</t>
  </si>
  <si>
    <t>Povrchové úpravy terénu</t>
  </si>
  <si>
    <t>164</t>
  </si>
  <si>
    <t>114211105R00</t>
  </si>
  <si>
    <t>230195038R00</t>
  </si>
  <si>
    <t>452</t>
  </si>
  <si>
    <t>131</t>
  </si>
  <si>
    <t>Javor babyka - Acer campestre, vysokokmen</t>
  </si>
  <si>
    <t>83</t>
  </si>
  <si>
    <t>Kohout rozebíratelný s páčkou d 32 mm PP nebo PE, svěrná hrdla</t>
  </si>
  <si>
    <t>00572472</t>
  </si>
  <si>
    <t>+elektrospojky nebo elektrokoleno 15°</t>
  </si>
  <si>
    <t>příplatek do vzdálenosti skládky 40 km celkem (skládka Písek)</t>
  </si>
  <si>
    <t>DN 600</t>
  </si>
  <si>
    <t>cca 50% připojovaných, jako rezerva na výměnu a doplnění lapačů</t>
  </si>
  <si>
    <t>Řezání stávajícího živičného krytu tl. 10 - 15 cm</t>
  </si>
  <si>
    <t>213</t>
  </si>
  <si>
    <t>93_</t>
  </si>
  <si>
    <t>112,24</t>
  </si>
  <si>
    <t>114</t>
  </si>
  <si>
    <t>Příplatek za ztížené hloubení v blízkosti vedení</t>
  </si>
  <si>
    <t>2+1</t>
  </si>
  <si>
    <t>47</t>
  </si>
  <si>
    <t>111212122R00</t>
  </si>
  <si>
    <t>rýha ve stáv. asf. vozovce, odhad. tl.</t>
  </si>
  <si>
    <t>Spojka kanalizační PP SN 8-10 D 160</t>
  </si>
  <si>
    <t>657,8-619,91</t>
  </si>
  <si>
    <t>384</t>
  </si>
  <si>
    <t>Objímka distanční PEHD 41mm  301-320mm</t>
  </si>
  <si>
    <t>Přirážka za 1 spoj elektrotvarovky d 32 mm</t>
  </si>
  <si>
    <t>šíře dna 0,9</t>
  </si>
  <si>
    <t>HSV mat</t>
  </si>
  <si>
    <t>24+13+6</t>
  </si>
  <si>
    <t>294</t>
  </si>
  <si>
    <t>113106002RAB</t>
  </si>
  <si>
    <t>400</t>
  </si>
  <si>
    <t>SO</t>
  </si>
  <si>
    <t>877373122R00</t>
  </si>
  <si>
    <t>M21_</t>
  </si>
  <si>
    <t>348</t>
  </si>
  <si>
    <t>2+6+47</t>
  </si>
  <si>
    <t>177</t>
  </si>
  <si>
    <t>010001VRN</t>
  </si>
  <si>
    <t>na mezideponii, likvidace/recyklace viz rozpočet PK</t>
  </si>
  <si>
    <t>66</t>
  </si>
  <si>
    <t>odvoz dodatečného zásypu při realizaci SO 10x</t>
  </si>
  <si>
    <t>970051300R00</t>
  </si>
  <si>
    <t>Montáž distanční objímky celistvých d 106-123 mm</t>
  </si>
  <si>
    <t>rezerva na dorovnání úseků</t>
  </si>
  <si>
    <t>4*4</t>
  </si>
  <si>
    <t>odvoz dodatečného zásypu</t>
  </si>
  <si>
    <t>56_</t>
  </si>
  <si>
    <t>sadové úpravy</t>
  </si>
  <si>
    <t>350,19*0,22</t>
  </si>
  <si>
    <t>rozměr v 1M 12/14
kultivar - Elsrijk</t>
  </si>
  <si>
    <t>Trubka kanalizační PP SN 10 160x3000mm</t>
  </si>
  <si>
    <t>365</t>
  </si>
  <si>
    <t>Kostka dlažební drobná 10/12 štípaná Itř. 1t=4,0m2</t>
  </si>
  <si>
    <t>113106231R00</t>
  </si>
  <si>
    <t>(168,5-5*1)</t>
  </si>
  <si>
    <t>22*1</t>
  </si>
  <si>
    <t>414</t>
  </si>
  <si>
    <t>288</t>
  </si>
  <si>
    <t>915712111RT1</t>
  </si>
  <si>
    <t>14_</t>
  </si>
  <si>
    <t>201</t>
  </si>
  <si>
    <t>včetně příčky a úvazků 7x - montáž</t>
  </si>
  <si>
    <t>SO 301_4_</t>
  </si>
  <si>
    <t>347</t>
  </si>
  <si>
    <t>155</t>
  </si>
  <si>
    <t>Montáž vpusti nebo čistícího kusu pro žlaby polymerbetonové či betonové D400</t>
  </si>
  <si>
    <t>247</t>
  </si>
  <si>
    <t>Montáž vsakovacího bloku nebo tunelu do V 450 l</t>
  </si>
  <si>
    <t>90</t>
  </si>
  <si>
    <t>výložník a svítidlo přechodové - provedení zebra</t>
  </si>
  <si>
    <t>M23</t>
  </si>
  <si>
    <t>SO 305_4_</t>
  </si>
  <si>
    <t>210</t>
  </si>
  <si>
    <t>89</t>
  </si>
  <si>
    <t>vč. očištění k recyklaci</t>
  </si>
  <si>
    <t>25*0,58</t>
  </si>
  <si>
    <t>včetně obrubníku nájezdového  15 1000/150/150</t>
  </si>
  <si>
    <t>Krycí list slepého rozpočtu (SO 303 - Přípojky jednotné kanalizace)</t>
  </si>
  <si>
    <t>souběh se stávajícím přivaděčem (pokud již nebude přeložen)</t>
  </si>
  <si>
    <t>2 skruže a kónus šachty na vodoteči</t>
  </si>
  <si>
    <t>4+4+71+5</t>
  </si>
  <si>
    <t>245</t>
  </si>
  <si>
    <t>6x pro DN 800</t>
  </si>
  <si>
    <t>01.06.2023</t>
  </si>
  <si>
    <t>354</t>
  </si>
  <si>
    <t>Fólie výstražná z PVC bílá, šířka 30 cm</t>
  </si>
  <si>
    <t>447</t>
  </si>
  <si>
    <t>179</t>
  </si>
  <si>
    <t>892273111R00</t>
  </si>
  <si>
    <t>195,85</t>
  </si>
  <si>
    <t>.</t>
  </si>
  <si>
    <t>Uložení kabelu Cu 5 x 25 mm2 do trubky</t>
  </si>
  <si>
    <t>M65_</t>
  </si>
  <si>
    <t>Manžeta na chráničky EPDM 110 x 220 mm</t>
  </si>
  <si>
    <t>SO 304_72_</t>
  </si>
  <si>
    <t>185</t>
  </si>
  <si>
    <t>88</t>
  </si>
  <si>
    <t>286144828</t>
  </si>
  <si>
    <t>Směs travní luční III. - dlouhodobá PROFI</t>
  </si>
  <si>
    <t>úsek</t>
  </si>
  <si>
    <t>dle sejmutí ornice</t>
  </si>
  <si>
    <t>286538003</t>
  </si>
  <si>
    <t>40+85</t>
  </si>
  <si>
    <t>41195420</t>
  </si>
  <si>
    <t>Rozprostření ornice, svah, tl. do 10 cm, do 500 m2</t>
  </si>
  <si>
    <t>Trativody z PVC drenážních flexibilních trubek</t>
  </si>
  <si>
    <t>zásyp do úrovně stávající nivelety</t>
  </si>
  <si>
    <t>148</t>
  </si>
  <si>
    <t>Deska podkladová pod hydrantové poklopy</t>
  </si>
  <si>
    <t>SO304.1_</t>
  </si>
  <si>
    <t>460,5*1,1*2</t>
  </si>
  <si>
    <t>Montáž distanční objímky segmentových d 361-400 mm</t>
  </si>
  <si>
    <t>344</t>
  </si>
  <si>
    <t>Desky podkladní pod potrubí z betonu C 12/15</t>
  </si>
  <si>
    <t>326</t>
  </si>
  <si>
    <t>303</t>
  </si>
  <si>
    <t>Zkrácený popis</t>
  </si>
  <si>
    <t>46*1</t>
  </si>
  <si>
    <t>592262131</t>
  </si>
  <si>
    <t>443</t>
  </si>
  <si>
    <t>28</t>
  </si>
  <si>
    <t>rýha ve stáv. asf. vozovce místní PK, odhad zbytku nevybouraného povrchu</t>
  </si>
  <si>
    <t>111</t>
  </si>
  <si>
    <t>SO_1_</t>
  </si>
  <si>
    <t>74910216</t>
  </si>
  <si>
    <t>10+10+1</t>
  </si>
  <si>
    <t>rýha dno 1,4, pažená, pro DN 600</t>
  </si>
  <si>
    <t>Fólie výstražná šířka 34 cm červená síťovina</t>
  </si>
  <si>
    <t>11,224*39</t>
  </si>
  <si>
    <t>Trubka vodovodní PE RC Protect SDR 11 110x10,0 mm</t>
  </si>
  <si>
    <t>00572442</t>
  </si>
  <si>
    <t>Trubka kanalizační PP SN 10 315x3000mm</t>
  </si>
  <si>
    <t>312</t>
  </si>
  <si>
    <t>417</t>
  </si>
  <si>
    <t>239</t>
  </si>
  <si>
    <t>58572000</t>
  </si>
  <si>
    <t>CELK</t>
  </si>
  <si>
    <t>(295-47*0,5)*0,9*0,35</t>
  </si>
  <si>
    <t>23,86</t>
  </si>
  <si>
    <t>odhad tl. podkladu, použije se na zásyp rýh</t>
  </si>
  <si>
    <t>113</t>
  </si>
  <si>
    <t>106</t>
  </si>
  <si>
    <t>-3,14*(214+151,3+114,4-16*1,2)*0,16*0,16</t>
  </si>
  <si>
    <t>611*2</t>
  </si>
  <si>
    <t>376</t>
  </si>
  <si>
    <t>151101101R00</t>
  </si>
  <si>
    <t>425</t>
  </si>
  <si>
    <t>Beton asfalt. ACO 11+ obrusný, š. do 3 m, tl. 4 cm</t>
  </si>
  <si>
    <t>DN 800</t>
  </si>
  <si>
    <t>Vodič signalizační CYY 6 mm2</t>
  </si>
  <si>
    <t>260*0,02</t>
  </si>
  <si>
    <t>chemické odplevelení, frézování, hnojení
Hnojivo Slivamix , odplevelení - BOFIX</t>
  </si>
  <si>
    <t>650106313R00</t>
  </si>
  <si>
    <t>65</t>
  </si>
  <si>
    <t>339</t>
  </si>
  <si>
    <t>Prorážení otvorů a ostatní bourací práce</t>
  </si>
  <si>
    <t>244</t>
  </si>
  <si>
    <t>Krycí list slepého rozpočtu (SO 305 - Vodovodní přípojky)</t>
  </si>
  <si>
    <t>464</t>
  </si>
  <si>
    <t>301</t>
  </si>
  <si>
    <t>169</t>
  </si>
  <si>
    <t>597101035RA100</t>
  </si>
  <si>
    <t>34</t>
  </si>
  <si>
    <t>62</t>
  </si>
  <si>
    <t>193</t>
  </si>
  <si>
    <t>0,5</t>
  </si>
  <si>
    <t>kabely</t>
  </si>
  <si>
    <t>174100050RAB</t>
  </si>
  <si>
    <t>432</t>
  </si>
  <si>
    <t>SO100b_1_</t>
  </si>
  <si>
    <t>857262121R00</t>
  </si>
  <si>
    <t>335</t>
  </si>
  <si>
    <t>Trubka kanalizační PP SN 10 800x6000mm</t>
  </si>
  <si>
    <t>428</t>
  </si>
  <si>
    <t>457</t>
  </si>
  <si>
    <t>415</t>
  </si>
  <si>
    <t>871393121R00</t>
  </si>
  <si>
    <t>objednat rozměr dle skutečných rozměrů potrubí</t>
  </si>
  <si>
    <t>218</t>
  </si>
  <si>
    <t>Úprava pláně v násypech v hor. 1-4, se zhutněním</t>
  </si>
  <si>
    <t>341</t>
  </si>
  <si>
    <t>BE400</t>
  </si>
  <si>
    <t>141741114R00</t>
  </si>
  <si>
    <t>SO 100a</t>
  </si>
  <si>
    <t>SO 800_1_</t>
  </si>
  <si>
    <t>Vodorovné přemíst.výkopku z rýh pod.stěn do 2000 m</t>
  </si>
  <si>
    <t>Zkouška těsnosti kanalizace DN do 200, vodou</t>
  </si>
  <si>
    <t>113107630R00</t>
  </si>
  <si>
    <t>28655428</t>
  </si>
  <si>
    <t>Spadiště kanal. z betonu jednod.,dno čedič, DN 300</t>
  </si>
  <si>
    <t>917832111RT8</t>
  </si>
  <si>
    <t>11,6+10,8+10,7+10,7+6,3+11,3+6+5,5+6,3+7+6,7+7,5+6,2+7,3+7,2+6,7+2,6+7,5+4,3+4,4+6,7+4,5+6,6+4,5+6,7</t>
  </si>
  <si>
    <t>280,6</t>
  </si>
  <si>
    <t>295,3</t>
  </si>
  <si>
    <t>Trubka bezešvá hladká 11353.1  D 219x8,0 mm</t>
  </si>
  <si>
    <t>4+4+3+3+3</t>
  </si>
  <si>
    <t>42228312</t>
  </si>
  <si>
    <t>Montáž trub kanaliz. z plastu, hrdlových, DN 600</t>
  </si>
  <si>
    <t>2*2</t>
  </si>
  <si>
    <t>293</t>
  </si>
  <si>
    <t>Vnitřní kanalizace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</si>
</sst>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7">
    <font>
      <sz val="8"/>
      <name val="Arial"/>
      <family val="0"/>
    </font>
    <font>
      <sz val="11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b/>
      <sz val="20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b/>
      <sz val="12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Arial"/>
      <family val="0"/>
    </font>
    <font>
      <i/>
      <sz val="10"/>
      <color rgb="FF000000"/>
      <name val="Arial"/>
      <family val="0"/>
    </font>
    <font>
      <b/>
      <sz val="20"/>
      <color rgb="FF000000"/>
      <name val="Arial"/>
      <family val="0"/>
    </font>
    <font>
      <i/>
      <sz val="8"/>
      <color rgb="FF000000"/>
      <name val="Arial"/>
      <family val="0"/>
    </font>
    <font>
      <sz val="1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/>
      <top/>
      <bottom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rgb="FF000000"/>
      </left>
      <right/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3">
    <xf numFmtId="0" fontId="2" fillId="0" borderId="0" xfId="0" applyNumberFormat="1" applyFont="1" applyFill="1" applyBorder="1" applyAlignment="1" applyProtection="1">
      <alignment/>
      <protection/>
    </xf>
    <xf numFmtId="0" fontId="47" fillId="33" borderId="0" xfId="0" applyNumberFormat="1" applyFont="1" applyFill="1" applyBorder="1" applyAlignment="1" applyProtection="1">
      <alignment horizontal="right" vertical="center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0" fontId="49" fillId="33" borderId="11" xfId="0" applyNumberFormat="1" applyFont="1" applyFill="1" applyBorder="1" applyAlignment="1" applyProtection="1">
      <alignment horizontal="left" vertical="center"/>
      <protection/>
    </xf>
    <xf numFmtId="0" fontId="50" fillId="0" borderId="12" xfId="0" applyNumberFormat="1" applyFont="1" applyFill="1" applyBorder="1" applyAlignment="1" applyProtection="1">
      <alignment horizontal="right" vertical="center"/>
      <protection/>
    </xf>
    <xf numFmtId="0" fontId="51" fillId="0" borderId="13" xfId="0" applyNumberFormat="1" applyFont="1" applyFill="1" applyBorder="1" applyAlignment="1" applyProtection="1">
      <alignment horizontal="left" vertical="center"/>
      <protection/>
    </xf>
    <xf numFmtId="0" fontId="49" fillId="0" borderId="14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4" fontId="50" fillId="0" borderId="16" xfId="0" applyNumberFormat="1" applyFont="1" applyFill="1" applyBorder="1" applyAlignment="1" applyProtection="1">
      <alignment horizontal="right" vertical="center"/>
      <protection/>
    </xf>
    <xf numFmtId="0" fontId="47" fillId="0" borderId="17" xfId="0" applyNumberFormat="1" applyFont="1" applyFill="1" applyBorder="1" applyAlignment="1" applyProtection="1">
      <alignment horizontal="center" vertical="center"/>
      <protection/>
    </xf>
    <xf numFmtId="0" fontId="47" fillId="0" borderId="18" xfId="0" applyNumberFormat="1" applyFont="1" applyFill="1" applyBorder="1" applyAlignment="1" applyProtection="1">
      <alignment horizontal="center" vertical="center"/>
      <protection/>
    </xf>
    <xf numFmtId="0" fontId="47" fillId="0" borderId="19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center" vertical="center"/>
      <protection/>
    </xf>
    <xf numFmtId="0" fontId="48" fillId="0" borderId="21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49" fillId="0" borderId="17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52" fillId="33" borderId="22" xfId="0" applyNumberFormat="1" applyFont="1" applyFill="1" applyBorder="1" applyAlignment="1" applyProtection="1">
      <alignment horizontal="center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9" fillId="33" borderId="11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4" fontId="50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23" xfId="0" applyNumberFormat="1" applyFont="1" applyFill="1" applyBorder="1" applyAlignment="1" applyProtection="1">
      <alignment horizontal="center" vertical="center"/>
      <protection/>
    </xf>
    <xf numFmtId="0" fontId="52" fillId="33" borderId="12" xfId="0" applyNumberFormat="1" applyFont="1" applyFill="1" applyBorder="1" applyAlignment="1" applyProtection="1">
      <alignment horizontal="center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6" xfId="0" applyNumberFormat="1" applyFont="1" applyFill="1" applyBorder="1" applyAlignment="1" applyProtection="1">
      <alignment horizontal="center" vertical="center"/>
      <protection/>
    </xf>
    <xf numFmtId="0" fontId="47" fillId="0" borderId="27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28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horizontal="center"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50" fillId="0" borderId="14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47" fillId="33" borderId="14" xfId="0" applyNumberFormat="1" applyFont="1" applyFill="1" applyBorder="1" applyAlignment="1" applyProtection="1">
      <alignment horizontal="right" vertical="center"/>
      <protection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4" fontId="48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50" fillId="0" borderId="16" xfId="0" applyNumberFormat="1" applyFont="1" applyFill="1" applyBorder="1" applyAlignment="1" applyProtection="1">
      <alignment horizontal="righ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30" xfId="0" applyNumberFormat="1" applyFont="1" applyFill="1" applyBorder="1" applyAlignment="1" applyProtection="1">
      <alignment horizontal="left" vertical="center"/>
      <protection/>
    </xf>
    <xf numFmtId="4" fontId="50" fillId="0" borderId="14" xfId="0" applyNumberFormat="1" applyFont="1" applyFill="1" applyBorder="1" applyAlignment="1" applyProtection="1">
      <alignment horizontal="right" vertical="center"/>
      <protection/>
    </xf>
    <xf numFmtId="0" fontId="47" fillId="0" borderId="31" xfId="0" applyNumberFormat="1" applyFont="1" applyFill="1" applyBorder="1" applyAlignment="1" applyProtection="1">
      <alignment horizontal="center" vertical="center"/>
      <protection/>
    </xf>
    <xf numFmtId="4" fontId="51" fillId="0" borderId="13" xfId="0" applyNumberFormat="1" applyFont="1" applyFill="1" applyBorder="1" applyAlignment="1" applyProtection="1">
      <alignment horizontal="right" vertical="center"/>
      <protection/>
    </xf>
    <xf numFmtId="0" fontId="47" fillId="33" borderId="14" xfId="0" applyNumberFormat="1" applyFont="1" applyFill="1" applyBorder="1" applyAlignment="1" applyProtection="1">
      <alignment horizontal="right" vertical="center"/>
      <protection/>
    </xf>
    <xf numFmtId="4" fontId="51" fillId="0" borderId="0" xfId="0" applyNumberFormat="1" applyFont="1" applyFill="1" applyBorder="1" applyAlignment="1" applyProtection="1">
      <alignment horizontal="right" vertical="center"/>
      <protection/>
    </xf>
    <xf numFmtId="4" fontId="48" fillId="33" borderId="16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32" xfId="0" applyNumberFormat="1" applyFont="1" applyFill="1" applyBorder="1" applyAlignment="1" applyProtection="1">
      <alignment horizontal="left" vertical="center"/>
      <protection/>
    </xf>
    <xf numFmtId="0" fontId="49" fillId="0" borderId="33" xfId="0" applyNumberFormat="1" applyFont="1" applyFill="1" applyBorder="1" applyAlignment="1" applyProtection="1">
      <alignment horizontal="left" vertical="center"/>
      <protection/>
    </xf>
    <xf numFmtId="0" fontId="49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32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34" xfId="0" applyNumberFormat="1" applyFont="1" applyFill="1" applyBorder="1" applyAlignment="1" applyProtection="1">
      <alignment horizontal="left" vertical="center" wrapText="1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 wrapText="1"/>
      <protection/>
    </xf>
    <xf numFmtId="0" fontId="49" fillId="0" borderId="32" xfId="0" applyNumberFormat="1" applyFont="1" applyFill="1" applyBorder="1" applyAlignment="1" applyProtection="1">
      <alignment horizontal="left" vertical="center" wrapText="1"/>
      <protection/>
    </xf>
    <xf numFmtId="0" fontId="50" fillId="0" borderId="15" xfId="0" applyNumberFormat="1" applyFont="1" applyFill="1" applyBorder="1" applyAlignment="1" applyProtection="1">
      <alignment horizontal="left" vertical="center"/>
      <protection/>
    </xf>
    <xf numFmtId="0" fontId="50" fillId="0" borderId="35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36" xfId="0" applyNumberFormat="1" applyFont="1" applyFill="1" applyBorder="1" applyAlignment="1" applyProtection="1">
      <alignment horizontal="left" vertical="center"/>
      <protection/>
    </xf>
    <xf numFmtId="0" fontId="50" fillId="0" borderId="23" xfId="0" applyNumberFormat="1" applyFont="1" applyFill="1" applyBorder="1" applyAlignment="1" applyProtection="1">
      <alignment horizontal="left" vertical="center"/>
      <protection/>
    </xf>
    <xf numFmtId="0" fontId="50" fillId="0" borderId="31" xfId="0" applyNumberFormat="1" applyFont="1" applyFill="1" applyBorder="1" applyAlignment="1" applyProtection="1">
      <alignment horizontal="left" vertical="center"/>
      <protection/>
    </xf>
    <xf numFmtId="0" fontId="50" fillId="0" borderId="37" xfId="0" applyNumberFormat="1" applyFont="1" applyFill="1" applyBorder="1" applyAlignment="1" applyProtection="1">
      <alignment horizontal="left" vertical="center"/>
      <protection/>
    </xf>
    <xf numFmtId="0" fontId="50" fillId="0" borderId="38" xfId="0" applyNumberFormat="1" applyFont="1" applyFill="1" applyBorder="1" applyAlignment="1" applyProtection="1">
      <alignment horizontal="left" vertical="center"/>
      <protection/>
    </xf>
    <xf numFmtId="0" fontId="50" fillId="0" borderId="39" xfId="0" applyNumberFormat="1" applyFont="1" applyFill="1" applyBorder="1" applyAlignment="1" applyProtection="1">
      <alignment horizontal="left" vertical="center"/>
      <protection/>
    </xf>
    <xf numFmtId="0" fontId="48" fillId="33" borderId="40" xfId="0" applyNumberFormat="1" applyFont="1" applyFill="1" applyBorder="1" applyAlignment="1" applyProtection="1">
      <alignment horizontal="left" vertical="center"/>
      <protection/>
    </xf>
    <xf numFmtId="0" fontId="48" fillId="33" borderId="41" xfId="0" applyNumberFormat="1" applyFont="1" applyFill="1" applyBorder="1" applyAlignment="1" applyProtection="1">
      <alignment horizontal="left" vertical="center"/>
      <protection/>
    </xf>
    <xf numFmtId="0" fontId="48" fillId="33" borderId="25" xfId="0" applyNumberFormat="1" applyFont="1" applyFill="1" applyBorder="1" applyAlignment="1" applyProtection="1">
      <alignment horizontal="left" vertical="center"/>
      <protection/>
    </xf>
    <xf numFmtId="0" fontId="48" fillId="33" borderId="13" xfId="0" applyNumberFormat="1" applyFont="1" applyFill="1" applyBorder="1" applyAlignment="1" applyProtection="1">
      <alignment horizontal="left" vertical="center"/>
      <protection/>
    </xf>
    <xf numFmtId="0" fontId="50" fillId="0" borderId="13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50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25" xfId="0" applyNumberFormat="1" applyFont="1" applyFill="1" applyBorder="1" applyAlignment="1" applyProtection="1">
      <alignment horizontal="left" vertical="center"/>
      <protection/>
    </xf>
    <xf numFmtId="0" fontId="55" fillId="0" borderId="41" xfId="0" applyNumberFormat="1" applyFont="1" applyFill="1" applyBorder="1" applyAlignment="1" applyProtection="1">
      <alignment horizontal="left" vertical="center"/>
      <protection/>
    </xf>
    <xf numFmtId="0" fontId="55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40" xfId="0" applyNumberFormat="1" applyFont="1" applyFill="1" applyBorder="1" applyAlignment="1" applyProtection="1">
      <alignment horizontal="left" vertical="center"/>
      <protection/>
    </xf>
    <xf numFmtId="1" fontId="49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14" xfId="0" applyNumberFormat="1" applyFont="1" applyFill="1" applyBorder="1" applyAlignment="1" applyProtection="1">
      <alignment horizontal="left" vertical="center" wrapText="1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25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89"/>
  <sheetViews>
    <sheetView tabSelected="1" showOutlineSymbols="0" zoomScalePageLayoutView="0" workbookViewId="0" topLeftCell="D1">
      <pane ySplit="11" topLeftCell="A227" activePane="bottomLeft" state="frozen"/>
      <selection pane="topLeft" activeCell="A1089" sqref="A1089:O1089"/>
      <selection pane="bottomLeft" activeCell="A1" sqref="A1:O1"/>
    </sheetView>
  </sheetViews>
  <sheetFormatPr defaultColWidth="14.16015625" defaultRowHeight="15" customHeight="1"/>
  <cols>
    <col min="1" max="1" width="4.66015625" style="0" customWidth="1"/>
    <col min="2" max="2" width="9.66015625" style="0" customWidth="1"/>
    <col min="3" max="3" width="20.83203125" style="0" customWidth="1"/>
    <col min="4" max="4" width="111.5" style="0" customWidth="1"/>
    <col min="5" max="5" width="104.5" style="0" customWidth="1"/>
    <col min="6" max="6" width="14.16015625" style="0" customWidth="1"/>
    <col min="7" max="7" width="74.16015625" style="0" customWidth="1"/>
    <col min="8" max="8" width="7.83203125" style="0" customWidth="1"/>
    <col min="9" max="9" width="15" style="0" customWidth="1"/>
    <col min="10" max="10" width="14" style="0" customWidth="1"/>
    <col min="11" max="13" width="18.33203125" style="0" customWidth="1"/>
    <col min="14" max="14" width="13.66015625" style="0" customWidth="1"/>
    <col min="15" max="15" width="15.66015625" style="0" customWidth="1"/>
    <col min="16" max="24" width="14.16015625" style="0" customWidth="1"/>
    <col min="25" max="74" width="14.16015625" style="0" hidden="1" customWidth="1"/>
  </cols>
  <sheetData>
    <row r="1" spans="1:47" ht="54.75" customHeight="1">
      <c r="A1" s="76" t="s">
        <v>1509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AS1" s="50">
        <f>SUM(AJ1:AJ2)</f>
        <v>0</v>
      </c>
      <c r="AT1" s="50">
        <f>SUM(AK1:AK2)</f>
        <v>0</v>
      </c>
      <c r="AU1" s="50">
        <f>SUM(AL1:AL2)</f>
        <v>0</v>
      </c>
    </row>
    <row r="2" spans="1:15" ht="15" customHeight="1">
      <c r="A2" s="77" t="s">
        <v>116</v>
      </c>
      <c r="B2" s="68"/>
      <c r="C2" s="74" t="s">
        <v>1539</v>
      </c>
      <c r="D2" s="75"/>
      <c r="E2" s="68" t="s">
        <v>15</v>
      </c>
      <c r="F2" s="68" t="s">
        <v>1415</v>
      </c>
      <c r="G2" s="80" t="s">
        <v>1400</v>
      </c>
      <c r="H2" s="68" t="s">
        <v>757</v>
      </c>
      <c r="I2" s="68"/>
      <c r="J2" s="68"/>
      <c r="K2" s="68"/>
      <c r="L2" s="68"/>
      <c r="M2" s="68"/>
      <c r="N2" s="68"/>
      <c r="O2" s="69"/>
    </row>
    <row r="3" spans="1:15" ht="15" customHeight="1">
      <c r="A3" s="78"/>
      <c r="B3" s="61"/>
      <c r="C3" s="62"/>
      <c r="D3" s="62"/>
      <c r="E3" s="61"/>
      <c r="F3" s="61"/>
      <c r="G3" s="61"/>
      <c r="H3" s="61"/>
      <c r="I3" s="61"/>
      <c r="J3" s="61"/>
      <c r="K3" s="61"/>
      <c r="L3" s="61"/>
      <c r="M3" s="61"/>
      <c r="N3" s="61"/>
      <c r="O3" s="70"/>
    </row>
    <row r="4" spans="1:15" ht="15" customHeight="1">
      <c r="A4" s="79" t="s">
        <v>908</v>
      </c>
      <c r="B4" s="61"/>
      <c r="C4" s="63" t="s">
        <v>445</v>
      </c>
      <c r="D4" s="61"/>
      <c r="E4" s="61" t="s">
        <v>1470</v>
      </c>
      <c r="F4" s="61" t="s">
        <v>308</v>
      </c>
      <c r="G4" s="63" t="s">
        <v>1158</v>
      </c>
      <c r="H4" s="63" t="s">
        <v>1634</v>
      </c>
      <c r="I4" s="61"/>
      <c r="J4" s="61"/>
      <c r="K4" s="61"/>
      <c r="L4" s="61"/>
      <c r="M4" s="61"/>
      <c r="N4" s="61"/>
      <c r="O4" s="70"/>
    </row>
    <row r="5" spans="1:15" ht="15" customHeight="1">
      <c r="A5" s="78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70"/>
    </row>
    <row r="6" spans="1:15" ht="15" customHeight="1">
      <c r="A6" s="79" t="s">
        <v>148</v>
      </c>
      <c r="B6" s="61"/>
      <c r="C6" s="63" t="s">
        <v>698</v>
      </c>
      <c r="D6" s="61"/>
      <c r="E6" s="61" t="s">
        <v>523</v>
      </c>
      <c r="F6" s="61" t="s">
        <v>961</v>
      </c>
      <c r="G6" s="63" t="s">
        <v>1447</v>
      </c>
      <c r="H6" s="61" t="s">
        <v>757</v>
      </c>
      <c r="I6" s="61"/>
      <c r="J6" s="61"/>
      <c r="K6" s="61"/>
      <c r="L6" s="61"/>
      <c r="M6" s="61"/>
      <c r="N6" s="61"/>
      <c r="O6" s="70"/>
    </row>
    <row r="7" spans="1:15" ht="15" customHeight="1">
      <c r="A7" s="78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70"/>
    </row>
    <row r="8" spans="1:15" ht="15" customHeight="1">
      <c r="A8" s="79" t="s">
        <v>799</v>
      </c>
      <c r="B8" s="61"/>
      <c r="C8" s="63" t="s">
        <v>1537</v>
      </c>
      <c r="D8" s="61"/>
      <c r="E8" s="61" t="s">
        <v>929</v>
      </c>
      <c r="F8" s="61" t="s">
        <v>1764</v>
      </c>
      <c r="G8" s="63" t="s">
        <v>1114</v>
      </c>
      <c r="H8" s="61" t="s">
        <v>757</v>
      </c>
      <c r="I8" s="61"/>
      <c r="J8" s="61"/>
      <c r="K8" s="61"/>
      <c r="L8" s="61"/>
      <c r="M8" s="61"/>
      <c r="N8" s="61"/>
      <c r="O8" s="70"/>
    </row>
    <row r="9" spans="1:15" ht="15" customHeight="1">
      <c r="A9" s="78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71"/>
      <c r="O9" s="70"/>
    </row>
    <row r="10" spans="1:64" ht="15" customHeight="1">
      <c r="A10" s="14" t="s">
        <v>127</v>
      </c>
      <c r="B10" s="24" t="s">
        <v>1243</v>
      </c>
      <c r="C10" s="24" t="s">
        <v>534</v>
      </c>
      <c r="D10" s="7" t="s">
        <v>1797</v>
      </c>
      <c r="E10" s="7"/>
      <c r="F10" s="7"/>
      <c r="G10" s="24"/>
      <c r="H10" s="24" t="s">
        <v>569</v>
      </c>
      <c r="I10" s="15" t="s">
        <v>1000</v>
      </c>
      <c r="J10" s="38" t="s">
        <v>522</v>
      </c>
      <c r="K10" s="39" t="s">
        <v>1077</v>
      </c>
      <c r="L10" s="37"/>
      <c r="M10" s="29"/>
      <c r="N10" s="8" t="s">
        <v>255</v>
      </c>
      <c r="O10" s="35" t="s">
        <v>431</v>
      </c>
      <c r="BK10" s="1" t="s">
        <v>647</v>
      </c>
      <c r="BL10" s="49" t="s">
        <v>864</v>
      </c>
    </row>
    <row r="11" spans="1:62" ht="15" customHeight="1">
      <c r="A11" s="53" t="s">
        <v>1537</v>
      </c>
      <c r="B11" s="18" t="s">
        <v>1537</v>
      </c>
      <c r="C11" s="18" t="s">
        <v>1537</v>
      </c>
      <c r="D11" s="72" t="s">
        <v>1659</v>
      </c>
      <c r="E11" s="72"/>
      <c r="F11" s="72"/>
      <c r="G11" s="73"/>
      <c r="H11" s="18" t="s">
        <v>1537</v>
      </c>
      <c r="I11" s="18" t="s">
        <v>1537</v>
      </c>
      <c r="J11" s="26" t="s">
        <v>1583</v>
      </c>
      <c r="K11" s="34" t="s">
        <v>85</v>
      </c>
      <c r="L11" s="12" t="s">
        <v>304</v>
      </c>
      <c r="M11" s="55" t="s">
        <v>165</v>
      </c>
      <c r="N11" s="13" t="s">
        <v>537</v>
      </c>
      <c r="O11" s="34" t="s">
        <v>411</v>
      </c>
      <c r="Z11" s="1" t="s">
        <v>1315</v>
      </c>
      <c r="AA11" s="1" t="s">
        <v>1030</v>
      </c>
      <c r="AB11" s="1" t="s">
        <v>1707</v>
      </c>
      <c r="AC11" s="1" t="s">
        <v>452</v>
      </c>
      <c r="AD11" s="1" t="s">
        <v>1416</v>
      </c>
      <c r="AE11" s="1" t="s">
        <v>607</v>
      </c>
      <c r="AF11" s="1" t="s">
        <v>1492</v>
      </c>
      <c r="AG11" s="1" t="s">
        <v>703</v>
      </c>
      <c r="AH11" s="1" t="s">
        <v>419</v>
      </c>
      <c r="BH11" s="1" t="s">
        <v>1316</v>
      </c>
      <c r="BI11" s="1" t="s">
        <v>1676</v>
      </c>
      <c r="BJ11" s="1" t="s">
        <v>1817</v>
      </c>
    </row>
    <row r="12" spans="1:15" ht="15" customHeight="1">
      <c r="A12" s="23" t="s">
        <v>1163</v>
      </c>
      <c r="B12" s="19" t="s">
        <v>1712</v>
      </c>
      <c r="C12" s="19" t="s">
        <v>1163</v>
      </c>
      <c r="D12" s="64" t="s">
        <v>1388</v>
      </c>
      <c r="E12" s="64"/>
      <c r="F12" s="64"/>
      <c r="G12" s="64"/>
      <c r="H12" s="33" t="s">
        <v>1537</v>
      </c>
      <c r="I12" s="33" t="s">
        <v>1537</v>
      </c>
      <c r="J12" s="33" t="s">
        <v>1537</v>
      </c>
      <c r="K12" s="28">
        <f>K13+K16+K19+K24+K29+K41+K48+K62+K74+K77+K79+K85</f>
        <v>0</v>
      </c>
      <c r="L12" s="28">
        <f>L13+L16+L19+L24+L29+L41+L48+L62+L74+L77+L79+L85</f>
        <v>0</v>
      </c>
      <c r="M12" s="28">
        <f>M13+M16+M19+M24+M29+M41+M48+M62+M74+M77+M79+M85</f>
        <v>0</v>
      </c>
      <c r="N12" s="60" t="s">
        <v>1163</v>
      </c>
      <c r="O12" s="57" t="s">
        <v>1163</v>
      </c>
    </row>
    <row r="13" spans="1:47" ht="15" customHeight="1">
      <c r="A13" s="3" t="s">
        <v>1163</v>
      </c>
      <c r="B13" s="9" t="s">
        <v>1712</v>
      </c>
      <c r="C13" s="9" t="s">
        <v>472</v>
      </c>
      <c r="D13" s="64" t="s">
        <v>16</v>
      </c>
      <c r="E13" s="64"/>
      <c r="F13" s="64"/>
      <c r="G13" s="64"/>
      <c r="H13" s="41" t="s">
        <v>1537</v>
      </c>
      <c r="I13" s="41" t="s">
        <v>1537</v>
      </c>
      <c r="J13" s="41" t="s">
        <v>1537</v>
      </c>
      <c r="K13" s="50">
        <f>SUM(K14:K14)</f>
        <v>0</v>
      </c>
      <c r="L13" s="50">
        <f>SUM(L14:L14)</f>
        <v>0</v>
      </c>
      <c r="M13" s="50">
        <f>SUM(M14:M14)</f>
        <v>0</v>
      </c>
      <c r="N13" s="1" t="s">
        <v>1163</v>
      </c>
      <c r="O13" s="45" t="s">
        <v>1163</v>
      </c>
      <c r="AI13" s="1" t="s">
        <v>1712</v>
      </c>
      <c r="AS13" s="50">
        <f>SUM(AJ14:AJ14)</f>
        <v>0</v>
      </c>
      <c r="AT13" s="50">
        <f>SUM(AK14:AK14)</f>
        <v>0</v>
      </c>
      <c r="AU13" s="50">
        <f>SUM(AL14:AL14)</f>
        <v>0</v>
      </c>
    </row>
    <row r="14" spans="1:64" ht="15" customHeight="1">
      <c r="A14" s="52" t="s">
        <v>1648</v>
      </c>
      <c r="B14" s="43" t="s">
        <v>1712</v>
      </c>
      <c r="C14" s="43" t="s">
        <v>1285</v>
      </c>
      <c r="D14" s="61" t="s">
        <v>604</v>
      </c>
      <c r="E14" s="61"/>
      <c r="F14" s="61"/>
      <c r="G14" s="61"/>
      <c r="H14" s="43" t="s">
        <v>1604</v>
      </c>
      <c r="I14" s="46">
        <v>105</v>
      </c>
      <c r="J14" s="46">
        <v>0</v>
      </c>
      <c r="K14" s="46">
        <f>I14*AO14</f>
        <v>0</v>
      </c>
      <c r="L14" s="46">
        <f>I14*AP14</f>
        <v>0</v>
      </c>
      <c r="M14" s="46">
        <f>I14*J14</f>
        <v>0</v>
      </c>
      <c r="N14" s="46">
        <v>0</v>
      </c>
      <c r="O14" s="6" t="s">
        <v>1149</v>
      </c>
      <c r="Z14" s="46">
        <f>IF(AQ14="5",BJ14,0)</f>
        <v>0</v>
      </c>
      <c r="AB14" s="46">
        <f>IF(AQ14="1",BH14,0)</f>
        <v>0</v>
      </c>
      <c r="AC14" s="46">
        <f>IF(AQ14="1",BI14,0)</f>
        <v>0</v>
      </c>
      <c r="AD14" s="46">
        <f>IF(AQ14="7",BH14,0)</f>
        <v>0</v>
      </c>
      <c r="AE14" s="46">
        <f>IF(AQ14="7",BI14,0)</f>
        <v>0</v>
      </c>
      <c r="AF14" s="46">
        <f>IF(AQ14="2",BH14,0)</f>
        <v>0</v>
      </c>
      <c r="AG14" s="46">
        <f>IF(AQ14="2",BI14,0)</f>
        <v>0</v>
      </c>
      <c r="AH14" s="46">
        <f>IF(AQ14="0",BJ14,0)</f>
        <v>0</v>
      </c>
      <c r="AI14" s="1" t="s">
        <v>1712</v>
      </c>
      <c r="AJ14" s="46">
        <f>IF(AN14=0,M14,0)</f>
        <v>0</v>
      </c>
      <c r="AK14" s="46">
        <f>IF(AN14=15,M14,0)</f>
        <v>0</v>
      </c>
      <c r="AL14" s="46">
        <f>IF(AN14=21,M14,0)</f>
        <v>0</v>
      </c>
      <c r="AN14" s="46">
        <v>21</v>
      </c>
      <c r="AO14" s="46">
        <f>J14*0</f>
        <v>0</v>
      </c>
      <c r="AP14" s="46">
        <f>J14*(1-0)</f>
        <v>0</v>
      </c>
      <c r="AQ14" s="42" t="s">
        <v>1648</v>
      </c>
      <c r="AV14" s="46">
        <f>AW14+AX14</f>
        <v>0</v>
      </c>
      <c r="AW14" s="46">
        <f>I14*AO14</f>
        <v>0</v>
      </c>
      <c r="AX14" s="46">
        <f>I14*AP14</f>
        <v>0</v>
      </c>
      <c r="AY14" s="42" t="s">
        <v>1498</v>
      </c>
      <c r="AZ14" s="42" t="s">
        <v>1804</v>
      </c>
      <c r="BA14" s="1" t="s">
        <v>919</v>
      </c>
      <c r="BC14" s="46">
        <f>AW14+AX14</f>
        <v>0</v>
      </c>
      <c r="BD14" s="46">
        <f>J14/(100-BE14)*100</f>
        <v>0</v>
      </c>
      <c r="BE14" s="46">
        <v>0</v>
      </c>
      <c r="BF14" s="46">
        <f>14</f>
        <v>14</v>
      </c>
      <c r="BH14" s="46">
        <f>I14*AO14</f>
        <v>0</v>
      </c>
      <c r="BI14" s="46">
        <f>I14*AP14</f>
        <v>0</v>
      </c>
      <c r="BJ14" s="46">
        <f>I14*J14</f>
        <v>0</v>
      </c>
      <c r="BK14" s="46"/>
      <c r="BL14" s="46">
        <v>13</v>
      </c>
    </row>
    <row r="15" spans="1:15" ht="15" customHeight="1">
      <c r="A15" s="10"/>
      <c r="D15" s="32" t="s">
        <v>214</v>
      </c>
      <c r="G15" s="32" t="s">
        <v>1163</v>
      </c>
      <c r="I15" s="58">
        <v>105.00000000000001</v>
      </c>
      <c r="O15" s="30"/>
    </row>
    <row r="16" spans="1:47" ht="15" customHeight="1">
      <c r="A16" s="3" t="s">
        <v>1163</v>
      </c>
      <c r="B16" s="9" t="s">
        <v>1712</v>
      </c>
      <c r="C16" s="9" t="s">
        <v>153</v>
      </c>
      <c r="D16" s="64" t="s">
        <v>1379</v>
      </c>
      <c r="E16" s="64"/>
      <c r="F16" s="64"/>
      <c r="G16" s="64"/>
      <c r="H16" s="41" t="s">
        <v>1537</v>
      </c>
      <c r="I16" s="41" t="s">
        <v>1537</v>
      </c>
      <c r="J16" s="41" t="s">
        <v>1537</v>
      </c>
      <c r="K16" s="50">
        <f>SUM(K17:K17)</f>
        <v>0</v>
      </c>
      <c r="L16" s="50">
        <f>SUM(L17:L17)</f>
        <v>0</v>
      </c>
      <c r="M16" s="50">
        <f>SUM(M17:M17)</f>
        <v>0</v>
      </c>
      <c r="N16" s="1" t="s">
        <v>1163</v>
      </c>
      <c r="O16" s="45" t="s">
        <v>1163</v>
      </c>
      <c r="AI16" s="1" t="s">
        <v>1712</v>
      </c>
      <c r="AS16" s="50">
        <f>SUM(AJ17:AJ17)</f>
        <v>0</v>
      </c>
      <c r="AT16" s="50">
        <f>SUM(AK17:AK17)</f>
        <v>0</v>
      </c>
      <c r="AU16" s="50">
        <f>SUM(AL17:AL17)</f>
        <v>0</v>
      </c>
    </row>
    <row r="17" spans="1:64" ht="15" customHeight="1">
      <c r="A17" s="52" t="s">
        <v>1157</v>
      </c>
      <c r="B17" s="43" t="s">
        <v>1712</v>
      </c>
      <c r="C17" s="43" t="s">
        <v>354</v>
      </c>
      <c r="D17" s="61" t="s">
        <v>1866</v>
      </c>
      <c r="E17" s="61"/>
      <c r="F17" s="61"/>
      <c r="G17" s="61"/>
      <c r="H17" s="43" t="s">
        <v>1604</v>
      </c>
      <c r="I17" s="46">
        <v>105</v>
      </c>
      <c r="J17" s="46">
        <v>0</v>
      </c>
      <c r="K17" s="46">
        <f>I17*AO17</f>
        <v>0</v>
      </c>
      <c r="L17" s="46">
        <f>I17*AP17</f>
        <v>0</v>
      </c>
      <c r="M17" s="46">
        <f>I17*J17</f>
        <v>0</v>
      </c>
      <c r="N17" s="46">
        <v>0</v>
      </c>
      <c r="O17" s="6" t="s">
        <v>1149</v>
      </c>
      <c r="Z17" s="46">
        <f>IF(AQ17="5",BJ17,0)</f>
        <v>0</v>
      </c>
      <c r="AB17" s="46">
        <f>IF(AQ17="1",BH17,0)</f>
        <v>0</v>
      </c>
      <c r="AC17" s="46">
        <f>IF(AQ17="1",BI17,0)</f>
        <v>0</v>
      </c>
      <c r="AD17" s="46">
        <f>IF(AQ17="7",BH17,0)</f>
        <v>0</v>
      </c>
      <c r="AE17" s="46">
        <f>IF(AQ17="7",BI17,0)</f>
        <v>0</v>
      </c>
      <c r="AF17" s="46">
        <f>IF(AQ17="2",BH17,0)</f>
        <v>0</v>
      </c>
      <c r="AG17" s="46">
        <f>IF(AQ17="2",BI17,0)</f>
        <v>0</v>
      </c>
      <c r="AH17" s="46">
        <f>IF(AQ17="0",BJ17,0)</f>
        <v>0</v>
      </c>
      <c r="AI17" s="1" t="s">
        <v>1712</v>
      </c>
      <c r="AJ17" s="46">
        <f>IF(AN17=0,M17,0)</f>
        <v>0</v>
      </c>
      <c r="AK17" s="46">
        <f>IF(AN17=15,M17,0)</f>
        <v>0</v>
      </c>
      <c r="AL17" s="46">
        <f>IF(AN17=21,M17,0)</f>
        <v>0</v>
      </c>
      <c r="AN17" s="46">
        <v>21</v>
      </c>
      <c r="AO17" s="46">
        <f>J17*0</f>
        <v>0</v>
      </c>
      <c r="AP17" s="46">
        <f>J17*(1-0)</f>
        <v>0</v>
      </c>
      <c r="AQ17" s="42" t="s">
        <v>1648</v>
      </c>
      <c r="AV17" s="46">
        <f>AW17+AX17</f>
        <v>0</v>
      </c>
      <c r="AW17" s="46">
        <f>I17*AO17</f>
        <v>0</v>
      </c>
      <c r="AX17" s="46">
        <f>I17*AP17</f>
        <v>0</v>
      </c>
      <c r="AY17" s="42" t="s">
        <v>1541</v>
      </c>
      <c r="AZ17" s="42" t="s">
        <v>1804</v>
      </c>
      <c r="BA17" s="1" t="s">
        <v>919</v>
      </c>
      <c r="BC17" s="46">
        <f>AW17+AX17</f>
        <v>0</v>
      </c>
      <c r="BD17" s="46">
        <f>J17/(100-BE17)*100</f>
        <v>0</v>
      </c>
      <c r="BE17" s="46">
        <v>0</v>
      </c>
      <c r="BF17" s="46">
        <f>17</f>
        <v>17</v>
      </c>
      <c r="BH17" s="46">
        <f>I17*AO17</f>
        <v>0</v>
      </c>
      <c r="BI17" s="46">
        <f>I17*AP17</f>
        <v>0</v>
      </c>
      <c r="BJ17" s="46">
        <f>I17*J17</f>
        <v>0</v>
      </c>
      <c r="BK17" s="46"/>
      <c r="BL17" s="46">
        <v>16</v>
      </c>
    </row>
    <row r="18" spans="1:15" ht="15" customHeight="1">
      <c r="A18" s="10"/>
      <c r="D18" s="32" t="s">
        <v>214</v>
      </c>
      <c r="G18" s="32" t="s">
        <v>1163</v>
      </c>
      <c r="I18" s="58">
        <v>105.00000000000001</v>
      </c>
      <c r="O18" s="30"/>
    </row>
    <row r="19" spans="1:47" ht="15" customHeight="1">
      <c r="A19" s="3" t="s">
        <v>1163</v>
      </c>
      <c r="B19" s="9" t="s">
        <v>1712</v>
      </c>
      <c r="C19" s="9" t="s">
        <v>1169</v>
      </c>
      <c r="D19" s="64" t="s">
        <v>225</v>
      </c>
      <c r="E19" s="64"/>
      <c r="F19" s="64"/>
      <c r="G19" s="64"/>
      <c r="H19" s="41" t="s">
        <v>1537</v>
      </c>
      <c r="I19" s="41" t="s">
        <v>1537</v>
      </c>
      <c r="J19" s="41" t="s">
        <v>1537</v>
      </c>
      <c r="K19" s="50">
        <f>SUM(K20:K22)</f>
        <v>0</v>
      </c>
      <c r="L19" s="50">
        <f>SUM(L20:L22)</f>
        <v>0</v>
      </c>
      <c r="M19" s="50">
        <f>SUM(M20:M22)</f>
        <v>0</v>
      </c>
      <c r="N19" s="1" t="s">
        <v>1163</v>
      </c>
      <c r="O19" s="45" t="s">
        <v>1163</v>
      </c>
      <c r="AI19" s="1" t="s">
        <v>1712</v>
      </c>
      <c r="AS19" s="50">
        <f>SUM(AJ20:AJ22)</f>
        <v>0</v>
      </c>
      <c r="AT19" s="50">
        <f>SUM(AK20:AK22)</f>
        <v>0</v>
      </c>
      <c r="AU19" s="50">
        <f>SUM(AL20:AL22)</f>
        <v>0</v>
      </c>
    </row>
    <row r="20" spans="1:64" ht="15" customHeight="1">
      <c r="A20" s="52" t="s">
        <v>1430</v>
      </c>
      <c r="B20" s="43" t="s">
        <v>1712</v>
      </c>
      <c r="C20" s="43" t="s">
        <v>1227</v>
      </c>
      <c r="D20" s="61" t="s">
        <v>862</v>
      </c>
      <c r="E20" s="61"/>
      <c r="F20" s="61"/>
      <c r="G20" s="61"/>
      <c r="H20" s="43" t="s">
        <v>1604</v>
      </c>
      <c r="I20" s="46">
        <v>105</v>
      </c>
      <c r="J20" s="46">
        <v>0</v>
      </c>
      <c r="K20" s="46">
        <f>I20*AO20</f>
        <v>0</v>
      </c>
      <c r="L20" s="46">
        <f>I20*AP20</f>
        <v>0</v>
      </c>
      <c r="M20" s="46">
        <f>I20*J20</f>
        <v>0</v>
      </c>
      <c r="N20" s="46">
        <v>0</v>
      </c>
      <c r="O20" s="6" t="s">
        <v>1149</v>
      </c>
      <c r="Z20" s="46">
        <f>IF(AQ20="5",BJ20,0)</f>
        <v>0</v>
      </c>
      <c r="AB20" s="46">
        <f>IF(AQ20="1",BH20,0)</f>
        <v>0</v>
      </c>
      <c r="AC20" s="46">
        <f>IF(AQ20="1",BI20,0)</f>
        <v>0</v>
      </c>
      <c r="AD20" s="46">
        <f>IF(AQ20="7",BH20,0)</f>
        <v>0</v>
      </c>
      <c r="AE20" s="46">
        <f>IF(AQ20="7",BI20,0)</f>
        <v>0</v>
      </c>
      <c r="AF20" s="46">
        <f>IF(AQ20="2",BH20,0)</f>
        <v>0</v>
      </c>
      <c r="AG20" s="46">
        <f>IF(AQ20="2",BI20,0)</f>
        <v>0</v>
      </c>
      <c r="AH20" s="46">
        <f>IF(AQ20="0",BJ20,0)</f>
        <v>0</v>
      </c>
      <c r="AI20" s="1" t="s">
        <v>1712</v>
      </c>
      <c r="AJ20" s="46">
        <f>IF(AN20=0,M20,0)</f>
        <v>0</v>
      </c>
      <c r="AK20" s="46">
        <f>IF(AN20=15,M20,0)</f>
        <v>0</v>
      </c>
      <c r="AL20" s="46">
        <f>IF(AN20=21,M20,0)</f>
        <v>0</v>
      </c>
      <c r="AN20" s="46">
        <v>21</v>
      </c>
      <c r="AO20" s="46">
        <f>J20*0</f>
        <v>0</v>
      </c>
      <c r="AP20" s="46">
        <f>J20*(1-0)</f>
        <v>0</v>
      </c>
      <c r="AQ20" s="42" t="s">
        <v>1648</v>
      </c>
      <c r="AV20" s="46">
        <f>AW20+AX20</f>
        <v>0</v>
      </c>
      <c r="AW20" s="46">
        <f>I20*AO20</f>
        <v>0</v>
      </c>
      <c r="AX20" s="46">
        <f>I20*AP20</f>
        <v>0</v>
      </c>
      <c r="AY20" s="42" t="s">
        <v>319</v>
      </c>
      <c r="AZ20" s="42" t="s">
        <v>1804</v>
      </c>
      <c r="BA20" s="1" t="s">
        <v>919</v>
      </c>
      <c r="BC20" s="46">
        <f>AW20+AX20</f>
        <v>0</v>
      </c>
      <c r="BD20" s="46">
        <f>J20/(100-BE20)*100</f>
        <v>0</v>
      </c>
      <c r="BE20" s="46">
        <v>0</v>
      </c>
      <c r="BF20" s="46">
        <f>20</f>
        <v>20</v>
      </c>
      <c r="BH20" s="46">
        <f>I20*AO20</f>
        <v>0</v>
      </c>
      <c r="BI20" s="46">
        <f>I20*AP20</f>
        <v>0</v>
      </c>
      <c r="BJ20" s="46">
        <f>I20*J20</f>
        <v>0</v>
      </c>
      <c r="BK20" s="46"/>
      <c r="BL20" s="46">
        <v>17</v>
      </c>
    </row>
    <row r="21" spans="1:15" ht="15" customHeight="1">
      <c r="A21" s="10"/>
      <c r="D21" s="32" t="s">
        <v>214</v>
      </c>
      <c r="G21" s="32" t="s">
        <v>1163</v>
      </c>
      <c r="I21" s="58">
        <v>105.00000000000001</v>
      </c>
      <c r="O21" s="30"/>
    </row>
    <row r="22" spans="1:64" ht="15" customHeight="1">
      <c r="A22" s="52" t="s">
        <v>191</v>
      </c>
      <c r="B22" s="43" t="s">
        <v>1712</v>
      </c>
      <c r="C22" s="43" t="s">
        <v>1848</v>
      </c>
      <c r="D22" s="61" t="s">
        <v>671</v>
      </c>
      <c r="E22" s="61"/>
      <c r="F22" s="61"/>
      <c r="G22" s="61"/>
      <c r="H22" s="43" t="s">
        <v>1604</v>
      </c>
      <c r="I22" s="46">
        <v>40</v>
      </c>
      <c r="J22" s="46">
        <v>0</v>
      </c>
      <c r="K22" s="46">
        <f>I22*AO22</f>
        <v>0</v>
      </c>
      <c r="L22" s="46">
        <f>I22*AP22</f>
        <v>0</v>
      </c>
      <c r="M22" s="46">
        <f>I22*J22</f>
        <v>0</v>
      </c>
      <c r="N22" s="46">
        <v>1.67</v>
      </c>
      <c r="O22" s="6" t="s">
        <v>1149</v>
      </c>
      <c r="Z22" s="46">
        <f>IF(AQ22="5",BJ22,0)</f>
        <v>0</v>
      </c>
      <c r="AB22" s="46">
        <f>IF(AQ22="1",BH22,0)</f>
        <v>0</v>
      </c>
      <c r="AC22" s="46">
        <f>IF(AQ22="1",BI22,0)</f>
        <v>0</v>
      </c>
      <c r="AD22" s="46">
        <f>IF(AQ22="7",BH22,0)</f>
        <v>0</v>
      </c>
      <c r="AE22" s="46">
        <f>IF(AQ22="7",BI22,0)</f>
        <v>0</v>
      </c>
      <c r="AF22" s="46">
        <f>IF(AQ22="2",BH22,0)</f>
        <v>0</v>
      </c>
      <c r="AG22" s="46">
        <f>IF(AQ22="2",BI22,0)</f>
        <v>0</v>
      </c>
      <c r="AH22" s="46">
        <f>IF(AQ22="0",BJ22,0)</f>
        <v>0</v>
      </c>
      <c r="AI22" s="1" t="s">
        <v>1712</v>
      </c>
      <c r="AJ22" s="46">
        <f>IF(AN22=0,M22,0)</f>
        <v>0</v>
      </c>
      <c r="AK22" s="46">
        <f>IF(AN22=15,M22,0)</f>
        <v>0</v>
      </c>
      <c r="AL22" s="46">
        <f>IF(AN22=21,M22,0)</f>
        <v>0</v>
      </c>
      <c r="AN22" s="46">
        <v>21</v>
      </c>
      <c r="AO22" s="46">
        <f>J22*0.62566560170394</f>
        <v>0</v>
      </c>
      <c r="AP22" s="46">
        <f>J22*(1-0.62566560170394)</f>
        <v>0</v>
      </c>
      <c r="AQ22" s="42" t="s">
        <v>1648</v>
      </c>
      <c r="AV22" s="46">
        <f>AW22+AX22</f>
        <v>0</v>
      </c>
      <c r="AW22" s="46">
        <f>I22*AO22</f>
        <v>0</v>
      </c>
      <c r="AX22" s="46">
        <f>I22*AP22</f>
        <v>0</v>
      </c>
      <c r="AY22" s="42" t="s">
        <v>319</v>
      </c>
      <c r="AZ22" s="42" t="s">
        <v>1804</v>
      </c>
      <c r="BA22" s="1" t="s">
        <v>919</v>
      </c>
      <c r="BC22" s="46">
        <f>AW22+AX22</f>
        <v>0</v>
      </c>
      <c r="BD22" s="46">
        <f>J22/(100-BE22)*100</f>
        <v>0</v>
      </c>
      <c r="BE22" s="46">
        <v>0</v>
      </c>
      <c r="BF22" s="46">
        <f>22</f>
        <v>22</v>
      </c>
      <c r="BH22" s="46">
        <f>I22*AO22</f>
        <v>0</v>
      </c>
      <c r="BI22" s="46">
        <f>I22*AP22</f>
        <v>0</v>
      </c>
      <c r="BJ22" s="46">
        <f>I22*J22</f>
        <v>0</v>
      </c>
      <c r="BK22" s="46"/>
      <c r="BL22" s="46">
        <v>17</v>
      </c>
    </row>
    <row r="23" spans="1:15" ht="15" customHeight="1">
      <c r="A23" s="10"/>
      <c r="D23" s="32" t="s">
        <v>574</v>
      </c>
      <c r="G23" s="32" t="s">
        <v>1163</v>
      </c>
      <c r="I23" s="58">
        <v>40</v>
      </c>
      <c r="O23" s="30"/>
    </row>
    <row r="24" spans="1:47" ht="15" customHeight="1">
      <c r="A24" s="3" t="s">
        <v>1163</v>
      </c>
      <c r="B24" s="9" t="s">
        <v>1712</v>
      </c>
      <c r="C24" s="9" t="s">
        <v>1228</v>
      </c>
      <c r="D24" s="64" t="s">
        <v>178</v>
      </c>
      <c r="E24" s="64"/>
      <c r="F24" s="64"/>
      <c r="G24" s="64"/>
      <c r="H24" s="41" t="s">
        <v>1537</v>
      </c>
      <c r="I24" s="41" t="s">
        <v>1537</v>
      </c>
      <c r="J24" s="41" t="s">
        <v>1537</v>
      </c>
      <c r="K24" s="50">
        <f>SUM(K25:K27)</f>
        <v>0</v>
      </c>
      <c r="L24" s="50">
        <f>SUM(L25:L27)</f>
        <v>0</v>
      </c>
      <c r="M24" s="50">
        <f>SUM(M25:M27)</f>
        <v>0</v>
      </c>
      <c r="N24" s="1" t="s">
        <v>1163</v>
      </c>
      <c r="O24" s="45" t="s">
        <v>1163</v>
      </c>
      <c r="AI24" s="1" t="s">
        <v>1712</v>
      </c>
      <c r="AS24" s="50">
        <f>SUM(AJ25:AJ27)</f>
        <v>0</v>
      </c>
      <c r="AT24" s="50">
        <f>SUM(AK25:AK27)</f>
        <v>0</v>
      </c>
      <c r="AU24" s="50">
        <f>SUM(AL25:AL27)</f>
        <v>0</v>
      </c>
    </row>
    <row r="25" spans="1:64" ht="15" customHeight="1">
      <c r="A25" s="52" t="s">
        <v>880</v>
      </c>
      <c r="B25" s="43" t="s">
        <v>1712</v>
      </c>
      <c r="C25" s="43" t="s">
        <v>593</v>
      </c>
      <c r="D25" s="61" t="s">
        <v>1276</v>
      </c>
      <c r="E25" s="61"/>
      <c r="F25" s="61"/>
      <c r="G25" s="61"/>
      <c r="H25" s="43" t="s">
        <v>749</v>
      </c>
      <c r="I25" s="46">
        <v>0.895</v>
      </c>
      <c r="J25" s="46">
        <v>0</v>
      </c>
      <c r="K25" s="46">
        <f>I25*AO25</f>
        <v>0</v>
      </c>
      <c r="L25" s="46">
        <f>I25*AP25</f>
        <v>0</v>
      </c>
      <c r="M25" s="46">
        <f>I25*J25</f>
        <v>0</v>
      </c>
      <c r="N25" s="46">
        <v>0</v>
      </c>
      <c r="O25" s="6" t="s">
        <v>1149</v>
      </c>
      <c r="Z25" s="46">
        <f>IF(AQ25="5",BJ25,0)</f>
        <v>0</v>
      </c>
      <c r="AB25" s="46">
        <f>IF(AQ25="1",BH25,0)</f>
        <v>0</v>
      </c>
      <c r="AC25" s="46">
        <f>IF(AQ25="1",BI25,0)</f>
        <v>0</v>
      </c>
      <c r="AD25" s="46">
        <f>IF(AQ25="7",BH25,0)</f>
        <v>0</v>
      </c>
      <c r="AE25" s="46">
        <f>IF(AQ25="7",BI25,0)</f>
        <v>0</v>
      </c>
      <c r="AF25" s="46">
        <f>IF(AQ25="2",BH25,0)</f>
        <v>0</v>
      </c>
      <c r="AG25" s="46">
        <f>IF(AQ25="2",BI25,0)</f>
        <v>0</v>
      </c>
      <c r="AH25" s="46">
        <f>IF(AQ25="0",BJ25,0)</f>
        <v>0</v>
      </c>
      <c r="AI25" s="1" t="s">
        <v>1712</v>
      </c>
      <c r="AJ25" s="46">
        <f>IF(AN25=0,M25,0)</f>
        <v>0</v>
      </c>
      <c r="AK25" s="46">
        <f>IF(AN25=15,M25,0)</f>
        <v>0</v>
      </c>
      <c r="AL25" s="46">
        <f>IF(AN25=21,M25,0)</f>
        <v>0</v>
      </c>
      <c r="AN25" s="46">
        <v>21</v>
      </c>
      <c r="AO25" s="46">
        <f>J25*0</f>
        <v>0</v>
      </c>
      <c r="AP25" s="46">
        <f>J25*(1-0)</f>
        <v>0</v>
      </c>
      <c r="AQ25" s="42" t="s">
        <v>880</v>
      </c>
      <c r="AV25" s="46">
        <f>AW25+AX25</f>
        <v>0</v>
      </c>
      <c r="AW25" s="46">
        <f>I25*AO25</f>
        <v>0</v>
      </c>
      <c r="AX25" s="46">
        <f>I25*AP25</f>
        <v>0</v>
      </c>
      <c r="AY25" s="42" t="s">
        <v>285</v>
      </c>
      <c r="AZ25" s="42" t="s">
        <v>344</v>
      </c>
      <c r="BA25" s="1" t="s">
        <v>919</v>
      </c>
      <c r="BC25" s="46">
        <f>AW25+AX25</f>
        <v>0</v>
      </c>
      <c r="BD25" s="46">
        <f>J25/(100-BE25)*100</f>
        <v>0</v>
      </c>
      <c r="BE25" s="46">
        <v>0</v>
      </c>
      <c r="BF25" s="46">
        <f>25</f>
        <v>25</v>
      </c>
      <c r="BH25" s="46">
        <f>I25*AO25</f>
        <v>0</v>
      </c>
      <c r="BI25" s="46">
        <f>I25*AP25</f>
        <v>0</v>
      </c>
      <c r="BJ25" s="46">
        <f>I25*J25</f>
        <v>0</v>
      </c>
      <c r="BK25" s="46"/>
      <c r="BL25" s="46"/>
    </row>
    <row r="26" spans="1:15" ht="15" customHeight="1">
      <c r="A26" s="10"/>
      <c r="D26" s="32" t="s">
        <v>1039</v>
      </c>
      <c r="G26" s="32" t="s">
        <v>1163</v>
      </c>
      <c r="I26" s="58">
        <v>0.895</v>
      </c>
      <c r="O26" s="30"/>
    </row>
    <row r="27" spans="1:64" ht="15" customHeight="1">
      <c r="A27" s="52" t="s">
        <v>269</v>
      </c>
      <c r="B27" s="43" t="s">
        <v>1712</v>
      </c>
      <c r="C27" s="43" t="s">
        <v>1367</v>
      </c>
      <c r="D27" s="61" t="s">
        <v>90</v>
      </c>
      <c r="E27" s="61"/>
      <c r="F27" s="61"/>
      <c r="G27" s="61"/>
      <c r="H27" s="43" t="s">
        <v>749</v>
      </c>
      <c r="I27" s="46">
        <v>147.9119</v>
      </c>
      <c r="J27" s="46">
        <v>0</v>
      </c>
      <c r="K27" s="46">
        <f>I27*AO27</f>
        <v>0</v>
      </c>
      <c r="L27" s="46">
        <f>I27*AP27</f>
        <v>0</v>
      </c>
      <c r="M27" s="46">
        <f>I27*J27</f>
        <v>0</v>
      </c>
      <c r="N27" s="46">
        <v>0</v>
      </c>
      <c r="O27" s="6" t="s">
        <v>1149</v>
      </c>
      <c r="Z27" s="46">
        <f>IF(AQ27="5",BJ27,0)</f>
        <v>0</v>
      </c>
      <c r="AB27" s="46">
        <f>IF(AQ27="1",BH27,0)</f>
        <v>0</v>
      </c>
      <c r="AC27" s="46">
        <f>IF(AQ27="1",BI27,0)</f>
        <v>0</v>
      </c>
      <c r="AD27" s="46">
        <f>IF(AQ27="7",BH27,0)</f>
        <v>0</v>
      </c>
      <c r="AE27" s="46">
        <f>IF(AQ27="7",BI27,0)</f>
        <v>0</v>
      </c>
      <c r="AF27" s="46">
        <f>IF(AQ27="2",BH27,0)</f>
        <v>0</v>
      </c>
      <c r="AG27" s="46">
        <f>IF(AQ27="2",BI27,0)</f>
        <v>0</v>
      </c>
      <c r="AH27" s="46">
        <f>IF(AQ27="0",BJ27,0)</f>
        <v>0</v>
      </c>
      <c r="AI27" s="1" t="s">
        <v>1712</v>
      </c>
      <c r="AJ27" s="46">
        <f>IF(AN27=0,M27,0)</f>
        <v>0</v>
      </c>
      <c r="AK27" s="46">
        <f>IF(AN27=15,M27,0)</f>
        <v>0</v>
      </c>
      <c r="AL27" s="46">
        <f>IF(AN27=21,M27,0)</f>
        <v>0</v>
      </c>
      <c r="AN27" s="46">
        <v>21</v>
      </c>
      <c r="AO27" s="46">
        <f>J27*0</f>
        <v>0</v>
      </c>
      <c r="AP27" s="46">
        <f>J27*(1-0)</f>
        <v>0</v>
      </c>
      <c r="AQ27" s="42" t="s">
        <v>880</v>
      </c>
      <c r="AV27" s="46">
        <f>AW27+AX27</f>
        <v>0</v>
      </c>
      <c r="AW27" s="46">
        <f>I27*AO27</f>
        <v>0</v>
      </c>
      <c r="AX27" s="46">
        <f>I27*AP27</f>
        <v>0</v>
      </c>
      <c r="AY27" s="42" t="s">
        <v>285</v>
      </c>
      <c r="AZ27" s="42" t="s">
        <v>344</v>
      </c>
      <c r="BA27" s="1" t="s">
        <v>919</v>
      </c>
      <c r="BC27" s="46">
        <f>AW27+AX27</f>
        <v>0</v>
      </c>
      <c r="BD27" s="46">
        <f>J27/(100-BE27)*100</f>
        <v>0</v>
      </c>
      <c r="BE27" s="46">
        <v>0</v>
      </c>
      <c r="BF27" s="46">
        <f>27</f>
        <v>27</v>
      </c>
      <c r="BH27" s="46">
        <f>I27*AO27</f>
        <v>0</v>
      </c>
      <c r="BI27" s="46">
        <f>I27*AP27</f>
        <v>0</v>
      </c>
      <c r="BJ27" s="46">
        <f>I27*J27</f>
        <v>0</v>
      </c>
      <c r="BK27" s="46"/>
      <c r="BL27" s="46"/>
    </row>
    <row r="28" spans="1:15" ht="15" customHeight="1">
      <c r="A28" s="10"/>
      <c r="D28" s="32" t="s">
        <v>150</v>
      </c>
      <c r="G28" s="32" t="s">
        <v>1163</v>
      </c>
      <c r="I28" s="58">
        <v>147.9119</v>
      </c>
      <c r="O28" s="30"/>
    </row>
    <row r="29" spans="1:47" ht="15" customHeight="1">
      <c r="A29" s="3" t="s">
        <v>1163</v>
      </c>
      <c r="B29" s="9" t="s">
        <v>1712</v>
      </c>
      <c r="C29" s="9" t="s">
        <v>249</v>
      </c>
      <c r="D29" s="64" t="s">
        <v>1277</v>
      </c>
      <c r="E29" s="64"/>
      <c r="F29" s="64"/>
      <c r="G29" s="64"/>
      <c r="H29" s="41" t="s">
        <v>1537</v>
      </c>
      <c r="I29" s="41" t="s">
        <v>1537</v>
      </c>
      <c r="J29" s="41" t="s">
        <v>1537</v>
      </c>
      <c r="K29" s="50">
        <f>SUM(K30:K39)</f>
        <v>0</v>
      </c>
      <c r="L29" s="50">
        <f>SUM(L30:L39)</f>
        <v>0</v>
      </c>
      <c r="M29" s="50">
        <f>SUM(M30:M39)</f>
        <v>0</v>
      </c>
      <c r="N29" s="1" t="s">
        <v>1163</v>
      </c>
      <c r="O29" s="45" t="s">
        <v>1163</v>
      </c>
      <c r="AI29" s="1" t="s">
        <v>1712</v>
      </c>
      <c r="AS29" s="50">
        <f>SUM(AJ30:AJ39)</f>
        <v>0</v>
      </c>
      <c r="AT29" s="50">
        <f>SUM(AK30:AK39)</f>
        <v>0</v>
      </c>
      <c r="AU29" s="50">
        <f>SUM(AL30:AL39)</f>
        <v>0</v>
      </c>
    </row>
    <row r="30" spans="1:64" ht="15" customHeight="1">
      <c r="A30" s="52" t="s">
        <v>1653</v>
      </c>
      <c r="B30" s="43" t="s">
        <v>1712</v>
      </c>
      <c r="C30" s="43" t="s">
        <v>1151</v>
      </c>
      <c r="D30" s="61" t="s">
        <v>922</v>
      </c>
      <c r="E30" s="61"/>
      <c r="F30" s="61"/>
      <c r="G30" s="61"/>
      <c r="H30" s="43" t="s">
        <v>1365</v>
      </c>
      <c r="I30" s="46">
        <v>180</v>
      </c>
      <c r="J30" s="46">
        <v>0</v>
      </c>
      <c r="K30" s="46">
        <f>I30*AO30</f>
        <v>0</v>
      </c>
      <c r="L30" s="46">
        <f>I30*AP30</f>
        <v>0</v>
      </c>
      <c r="M30" s="46">
        <f>I30*J30</f>
        <v>0</v>
      </c>
      <c r="N30" s="46">
        <v>0.0008</v>
      </c>
      <c r="O30" s="6" t="s">
        <v>1149</v>
      </c>
      <c r="Z30" s="46">
        <f>IF(AQ30="5",BJ30,0)</f>
        <v>0</v>
      </c>
      <c r="AB30" s="46">
        <f>IF(AQ30="1",BH30,0)</f>
        <v>0</v>
      </c>
      <c r="AC30" s="46">
        <f>IF(AQ30="1",BI30,0)</f>
        <v>0</v>
      </c>
      <c r="AD30" s="46">
        <f>IF(AQ30="7",BH30,0)</f>
        <v>0</v>
      </c>
      <c r="AE30" s="46">
        <f>IF(AQ30="7",BI30,0)</f>
        <v>0</v>
      </c>
      <c r="AF30" s="46">
        <f>IF(AQ30="2",BH30,0)</f>
        <v>0</v>
      </c>
      <c r="AG30" s="46">
        <f>IF(AQ30="2",BI30,0)</f>
        <v>0</v>
      </c>
      <c r="AH30" s="46">
        <f>IF(AQ30="0",BJ30,0)</f>
        <v>0</v>
      </c>
      <c r="AI30" s="1" t="s">
        <v>1712</v>
      </c>
      <c r="AJ30" s="46">
        <f>IF(AN30=0,M30,0)</f>
        <v>0</v>
      </c>
      <c r="AK30" s="46">
        <f>IF(AN30=15,M30,0)</f>
        <v>0</v>
      </c>
      <c r="AL30" s="46">
        <f>IF(AN30=21,M30,0)</f>
        <v>0</v>
      </c>
      <c r="AN30" s="46">
        <v>21</v>
      </c>
      <c r="AO30" s="46">
        <f>J30*0.854415966212579</f>
        <v>0</v>
      </c>
      <c r="AP30" s="46">
        <f>J30*(1-0.854415966212579)</f>
        <v>0</v>
      </c>
      <c r="AQ30" s="42" t="s">
        <v>1157</v>
      </c>
      <c r="AV30" s="46">
        <f>AW30+AX30</f>
        <v>0</v>
      </c>
      <c r="AW30" s="46">
        <f>I30*AO30</f>
        <v>0</v>
      </c>
      <c r="AX30" s="46">
        <f>I30*AP30</f>
        <v>0</v>
      </c>
      <c r="AY30" s="42" t="s">
        <v>1714</v>
      </c>
      <c r="AZ30" s="42" t="s">
        <v>344</v>
      </c>
      <c r="BA30" s="1" t="s">
        <v>919</v>
      </c>
      <c r="BC30" s="46">
        <f>AW30+AX30</f>
        <v>0</v>
      </c>
      <c r="BD30" s="46">
        <f>J30/(100-BE30)*100</f>
        <v>0</v>
      </c>
      <c r="BE30" s="46">
        <v>0</v>
      </c>
      <c r="BF30" s="46">
        <f>30</f>
        <v>30</v>
      </c>
      <c r="BH30" s="46">
        <f>I30*AO30</f>
        <v>0</v>
      </c>
      <c r="BI30" s="46">
        <f>I30*AP30</f>
        <v>0</v>
      </c>
      <c r="BJ30" s="46">
        <f>I30*J30</f>
        <v>0</v>
      </c>
      <c r="BK30" s="46"/>
      <c r="BL30" s="46"/>
    </row>
    <row r="31" spans="1:15" ht="15" customHeight="1">
      <c r="A31" s="10"/>
      <c r="D31" s="32" t="s">
        <v>521</v>
      </c>
      <c r="G31" s="32" t="s">
        <v>1163</v>
      </c>
      <c r="I31" s="58">
        <v>180.00000000000003</v>
      </c>
      <c r="O31" s="30"/>
    </row>
    <row r="32" spans="1:64" ht="15" customHeight="1">
      <c r="A32" s="52" t="s">
        <v>1326</v>
      </c>
      <c r="B32" s="43" t="s">
        <v>1712</v>
      </c>
      <c r="C32" s="43" t="s">
        <v>1209</v>
      </c>
      <c r="D32" s="61" t="s">
        <v>1362</v>
      </c>
      <c r="E32" s="61"/>
      <c r="F32" s="61"/>
      <c r="G32" s="61"/>
      <c r="H32" s="43" t="s">
        <v>392</v>
      </c>
      <c r="I32" s="46">
        <v>6</v>
      </c>
      <c r="J32" s="46">
        <v>0</v>
      </c>
      <c r="K32" s="46">
        <f>I32*AO32</f>
        <v>0</v>
      </c>
      <c r="L32" s="46">
        <f>I32*AP32</f>
        <v>0</v>
      </c>
      <c r="M32" s="46">
        <f>I32*J32</f>
        <v>0</v>
      </c>
      <c r="N32" s="46">
        <v>0</v>
      </c>
      <c r="O32" s="6" t="s">
        <v>1149</v>
      </c>
      <c r="Z32" s="46">
        <f>IF(AQ32="5",BJ32,0)</f>
        <v>0</v>
      </c>
      <c r="AB32" s="46">
        <f>IF(AQ32="1",BH32,0)</f>
        <v>0</v>
      </c>
      <c r="AC32" s="46">
        <f>IF(AQ32="1",BI32,0)</f>
        <v>0</v>
      </c>
      <c r="AD32" s="46">
        <f>IF(AQ32="7",BH32,0)</f>
        <v>0</v>
      </c>
      <c r="AE32" s="46">
        <f>IF(AQ32="7",BI32,0)</f>
        <v>0</v>
      </c>
      <c r="AF32" s="46">
        <f>IF(AQ32="2",BH32,0)</f>
        <v>0</v>
      </c>
      <c r="AG32" s="46">
        <f>IF(AQ32="2",BI32,0)</f>
        <v>0</v>
      </c>
      <c r="AH32" s="46">
        <f>IF(AQ32="0",BJ32,0)</f>
        <v>0</v>
      </c>
      <c r="AI32" s="1" t="s">
        <v>1712</v>
      </c>
      <c r="AJ32" s="46">
        <f>IF(AN32=0,M32,0)</f>
        <v>0</v>
      </c>
      <c r="AK32" s="46">
        <f>IF(AN32=15,M32,0)</f>
        <v>0</v>
      </c>
      <c r="AL32" s="46">
        <f>IF(AN32=21,M32,0)</f>
        <v>0</v>
      </c>
      <c r="AN32" s="46">
        <v>21</v>
      </c>
      <c r="AO32" s="46">
        <f>J32*0</f>
        <v>0</v>
      </c>
      <c r="AP32" s="46">
        <f>J32*(1-0)</f>
        <v>0</v>
      </c>
      <c r="AQ32" s="42" t="s">
        <v>1157</v>
      </c>
      <c r="AV32" s="46">
        <f>AW32+AX32</f>
        <v>0</v>
      </c>
      <c r="AW32" s="46">
        <f>I32*AO32</f>
        <v>0</v>
      </c>
      <c r="AX32" s="46">
        <f>I32*AP32</f>
        <v>0</v>
      </c>
      <c r="AY32" s="42" t="s">
        <v>1714</v>
      </c>
      <c r="AZ32" s="42" t="s">
        <v>344</v>
      </c>
      <c r="BA32" s="1" t="s">
        <v>919</v>
      </c>
      <c r="BC32" s="46">
        <f>AW32+AX32</f>
        <v>0</v>
      </c>
      <c r="BD32" s="46">
        <f>J32/(100-BE32)*100</f>
        <v>0</v>
      </c>
      <c r="BE32" s="46">
        <v>0</v>
      </c>
      <c r="BF32" s="46">
        <f>32</f>
        <v>32</v>
      </c>
      <c r="BH32" s="46">
        <f>I32*AO32</f>
        <v>0</v>
      </c>
      <c r="BI32" s="46">
        <f>I32*AP32</f>
        <v>0</v>
      </c>
      <c r="BJ32" s="46">
        <f>I32*J32</f>
        <v>0</v>
      </c>
      <c r="BK32" s="46"/>
      <c r="BL32" s="46"/>
    </row>
    <row r="33" spans="1:15" ht="15" customHeight="1">
      <c r="A33" s="10"/>
      <c r="D33" s="32" t="s">
        <v>269</v>
      </c>
      <c r="G33" s="32" t="s">
        <v>1163</v>
      </c>
      <c r="I33" s="58">
        <v>6.000000000000001</v>
      </c>
      <c r="O33" s="30"/>
    </row>
    <row r="34" spans="1:64" ht="15" customHeight="1">
      <c r="A34" s="52" t="s">
        <v>620</v>
      </c>
      <c r="B34" s="43" t="s">
        <v>1712</v>
      </c>
      <c r="C34" s="43" t="s">
        <v>841</v>
      </c>
      <c r="D34" s="61" t="s">
        <v>320</v>
      </c>
      <c r="E34" s="61"/>
      <c r="F34" s="61"/>
      <c r="G34" s="61"/>
      <c r="H34" s="43" t="s">
        <v>392</v>
      </c>
      <c r="I34" s="46">
        <v>6</v>
      </c>
      <c r="J34" s="46">
        <v>0</v>
      </c>
      <c r="K34" s="46">
        <f>I34*AO34</f>
        <v>0</v>
      </c>
      <c r="L34" s="46">
        <f>I34*AP34</f>
        <v>0</v>
      </c>
      <c r="M34" s="46">
        <f>I34*J34</f>
        <v>0</v>
      </c>
      <c r="N34" s="46">
        <v>0</v>
      </c>
      <c r="O34" s="6" t="s">
        <v>1149</v>
      </c>
      <c r="Z34" s="46">
        <f>IF(AQ34="5",BJ34,0)</f>
        <v>0</v>
      </c>
      <c r="AB34" s="46">
        <f>IF(AQ34="1",BH34,0)</f>
        <v>0</v>
      </c>
      <c r="AC34" s="46">
        <f>IF(AQ34="1",BI34,0)</f>
        <v>0</v>
      </c>
      <c r="AD34" s="46">
        <f>IF(AQ34="7",BH34,0)</f>
        <v>0</v>
      </c>
      <c r="AE34" s="46">
        <f>IF(AQ34="7",BI34,0)</f>
        <v>0</v>
      </c>
      <c r="AF34" s="46">
        <f>IF(AQ34="2",BH34,0)</f>
        <v>0</v>
      </c>
      <c r="AG34" s="46">
        <f>IF(AQ34="2",BI34,0)</f>
        <v>0</v>
      </c>
      <c r="AH34" s="46">
        <f>IF(AQ34="0",BJ34,0)</f>
        <v>0</v>
      </c>
      <c r="AI34" s="1" t="s">
        <v>1712</v>
      </c>
      <c r="AJ34" s="46">
        <f>IF(AN34=0,M34,0)</f>
        <v>0</v>
      </c>
      <c r="AK34" s="46">
        <f>IF(AN34=15,M34,0)</f>
        <v>0</v>
      </c>
      <c r="AL34" s="46">
        <f>IF(AN34=21,M34,0)</f>
        <v>0</v>
      </c>
      <c r="AN34" s="46">
        <v>21</v>
      </c>
      <c r="AO34" s="46">
        <f>J34*0</f>
        <v>0</v>
      </c>
      <c r="AP34" s="46">
        <f>J34*(1-0)</f>
        <v>0</v>
      </c>
      <c r="AQ34" s="42" t="s">
        <v>1157</v>
      </c>
      <c r="AV34" s="46">
        <f>AW34+AX34</f>
        <v>0</v>
      </c>
      <c r="AW34" s="46">
        <f>I34*AO34</f>
        <v>0</v>
      </c>
      <c r="AX34" s="46">
        <f>I34*AP34</f>
        <v>0</v>
      </c>
      <c r="AY34" s="42" t="s">
        <v>1714</v>
      </c>
      <c r="AZ34" s="42" t="s">
        <v>344</v>
      </c>
      <c r="BA34" s="1" t="s">
        <v>919</v>
      </c>
      <c r="BC34" s="46">
        <f>AW34+AX34</f>
        <v>0</v>
      </c>
      <c r="BD34" s="46">
        <f>J34/(100-BE34)*100</f>
        <v>0</v>
      </c>
      <c r="BE34" s="46">
        <v>0</v>
      </c>
      <c r="BF34" s="46">
        <f>34</f>
        <v>34</v>
      </c>
      <c r="BH34" s="46">
        <f>I34*AO34</f>
        <v>0</v>
      </c>
      <c r="BI34" s="46">
        <f>I34*AP34</f>
        <v>0</v>
      </c>
      <c r="BJ34" s="46">
        <f>I34*J34</f>
        <v>0</v>
      </c>
      <c r="BK34" s="46"/>
      <c r="BL34" s="46"/>
    </row>
    <row r="35" spans="1:15" ht="15" customHeight="1">
      <c r="A35" s="10"/>
      <c r="D35" s="32" t="s">
        <v>269</v>
      </c>
      <c r="G35" s="32" t="s">
        <v>1163</v>
      </c>
      <c r="I35" s="58">
        <v>6.000000000000001</v>
      </c>
      <c r="O35" s="30"/>
    </row>
    <row r="36" spans="1:15" ht="13.5" customHeight="1">
      <c r="A36" s="10"/>
      <c r="C36" s="36" t="s">
        <v>144</v>
      </c>
      <c r="D36" s="65" t="s">
        <v>1750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64" ht="15" customHeight="1">
      <c r="A37" s="52" t="s">
        <v>965</v>
      </c>
      <c r="B37" s="43" t="s">
        <v>1712</v>
      </c>
      <c r="C37" s="43" t="s">
        <v>1109</v>
      </c>
      <c r="D37" s="61" t="s">
        <v>1572</v>
      </c>
      <c r="E37" s="61"/>
      <c r="F37" s="61"/>
      <c r="G37" s="61"/>
      <c r="H37" s="43" t="s">
        <v>392</v>
      </c>
      <c r="I37" s="46">
        <v>18</v>
      </c>
      <c r="J37" s="46">
        <v>0</v>
      </c>
      <c r="K37" s="46">
        <f>I37*AO37</f>
        <v>0</v>
      </c>
      <c r="L37" s="46">
        <f>I37*AP37</f>
        <v>0</v>
      </c>
      <c r="M37" s="46">
        <f>I37*J37</f>
        <v>0</v>
      </c>
      <c r="N37" s="46">
        <v>0</v>
      </c>
      <c r="O37" s="6" t="s">
        <v>1149</v>
      </c>
      <c r="Z37" s="46">
        <f>IF(AQ37="5",BJ37,0)</f>
        <v>0</v>
      </c>
      <c r="AB37" s="46">
        <f>IF(AQ37="1",BH37,0)</f>
        <v>0</v>
      </c>
      <c r="AC37" s="46">
        <f>IF(AQ37="1",BI37,0)</f>
        <v>0</v>
      </c>
      <c r="AD37" s="46">
        <f>IF(AQ37="7",BH37,0)</f>
        <v>0</v>
      </c>
      <c r="AE37" s="46">
        <f>IF(AQ37="7",BI37,0)</f>
        <v>0</v>
      </c>
      <c r="AF37" s="46">
        <f>IF(AQ37="2",BH37,0)</f>
        <v>0</v>
      </c>
      <c r="AG37" s="46">
        <f>IF(AQ37="2",BI37,0)</f>
        <v>0</v>
      </c>
      <c r="AH37" s="46">
        <f>IF(AQ37="0",BJ37,0)</f>
        <v>0</v>
      </c>
      <c r="AI37" s="1" t="s">
        <v>1712</v>
      </c>
      <c r="AJ37" s="46">
        <f>IF(AN37=0,M37,0)</f>
        <v>0</v>
      </c>
      <c r="AK37" s="46">
        <f>IF(AN37=15,M37,0)</f>
        <v>0</v>
      </c>
      <c r="AL37" s="46">
        <f>IF(AN37=21,M37,0)</f>
        <v>0</v>
      </c>
      <c r="AN37" s="46">
        <v>21</v>
      </c>
      <c r="AO37" s="46">
        <f>J37*0</f>
        <v>0</v>
      </c>
      <c r="AP37" s="46">
        <f>J37*(1-0)</f>
        <v>0</v>
      </c>
      <c r="AQ37" s="42" t="s">
        <v>1157</v>
      </c>
      <c r="AV37" s="46">
        <f>AW37+AX37</f>
        <v>0</v>
      </c>
      <c r="AW37" s="46">
        <f>I37*AO37</f>
        <v>0</v>
      </c>
      <c r="AX37" s="46">
        <f>I37*AP37</f>
        <v>0</v>
      </c>
      <c r="AY37" s="42" t="s">
        <v>1714</v>
      </c>
      <c r="AZ37" s="42" t="s">
        <v>344</v>
      </c>
      <c r="BA37" s="1" t="s">
        <v>919</v>
      </c>
      <c r="BC37" s="46">
        <f>AW37+AX37</f>
        <v>0</v>
      </c>
      <c r="BD37" s="46">
        <f>J37/(100-BE37)*100</f>
        <v>0</v>
      </c>
      <c r="BE37" s="46">
        <v>0</v>
      </c>
      <c r="BF37" s="46">
        <f>37</f>
        <v>37</v>
      </c>
      <c r="BH37" s="46">
        <f>I37*AO37</f>
        <v>0</v>
      </c>
      <c r="BI37" s="46">
        <f>I37*AP37</f>
        <v>0</v>
      </c>
      <c r="BJ37" s="46">
        <f>I37*J37</f>
        <v>0</v>
      </c>
      <c r="BK37" s="46"/>
      <c r="BL37" s="46"/>
    </row>
    <row r="38" spans="1:15" ht="15" customHeight="1">
      <c r="A38" s="10"/>
      <c r="D38" s="32" t="s">
        <v>1333</v>
      </c>
      <c r="G38" s="32" t="s">
        <v>1163</v>
      </c>
      <c r="I38" s="58">
        <v>18</v>
      </c>
      <c r="O38" s="30"/>
    </row>
    <row r="39" spans="1:64" ht="15" customHeight="1">
      <c r="A39" s="52" t="s">
        <v>1385</v>
      </c>
      <c r="B39" s="43" t="s">
        <v>1712</v>
      </c>
      <c r="C39" s="43" t="s">
        <v>1461</v>
      </c>
      <c r="D39" s="61" t="s">
        <v>1435</v>
      </c>
      <c r="E39" s="61"/>
      <c r="F39" s="61"/>
      <c r="G39" s="61"/>
      <c r="H39" s="43" t="s">
        <v>392</v>
      </c>
      <c r="I39" s="46">
        <v>18</v>
      </c>
      <c r="J39" s="46">
        <v>0</v>
      </c>
      <c r="K39" s="46">
        <f>I39*AO39</f>
        <v>0</v>
      </c>
      <c r="L39" s="46">
        <f>I39*AP39</f>
        <v>0</v>
      </c>
      <c r="M39" s="46">
        <f>I39*J39</f>
        <v>0</v>
      </c>
      <c r="N39" s="46">
        <v>0</v>
      </c>
      <c r="O39" s="6" t="s">
        <v>1149</v>
      </c>
      <c r="Z39" s="46">
        <f>IF(AQ39="5",BJ39,0)</f>
        <v>0</v>
      </c>
      <c r="AB39" s="46">
        <f>IF(AQ39="1",BH39,0)</f>
        <v>0</v>
      </c>
      <c r="AC39" s="46">
        <f>IF(AQ39="1",BI39,0)</f>
        <v>0</v>
      </c>
      <c r="AD39" s="46">
        <f>IF(AQ39="7",BH39,0)</f>
        <v>0</v>
      </c>
      <c r="AE39" s="46">
        <f>IF(AQ39="7",BI39,0)</f>
        <v>0</v>
      </c>
      <c r="AF39" s="46">
        <f>IF(AQ39="2",BH39,0)</f>
        <v>0</v>
      </c>
      <c r="AG39" s="46">
        <f>IF(AQ39="2",BI39,0)</f>
        <v>0</v>
      </c>
      <c r="AH39" s="46">
        <f>IF(AQ39="0",BJ39,0)</f>
        <v>0</v>
      </c>
      <c r="AI39" s="1" t="s">
        <v>1712</v>
      </c>
      <c r="AJ39" s="46">
        <f>IF(AN39=0,M39,0)</f>
        <v>0</v>
      </c>
      <c r="AK39" s="46">
        <f>IF(AN39=15,M39,0)</f>
        <v>0</v>
      </c>
      <c r="AL39" s="46">
        <f>IF(AN39=21,M39,0)</f>
        <v>0</v>
      </c>
      <c r="AN39" s="46">
        <v>21</v>
      </c>
      <c r="AO39" s="46">
        <f>J39*0</f>
        <v>0</v>
      </c>
      <c r="AP39" s="46">
        <f>J39*(1-0)</f>
        <v>0</v>
      </c>
      <c r="AQ39" s="42" t="s">
        <v>1157</v>
      </c>
      <c r="AV39" s="46">
        <f>AW39+AX39</f>
        <v>0</v>
      </c>
      <c r="AW39" s="46">
        <f>I39*AO39</f>
        <v>0</v>
      </c>
      <c r="AX39" s="46">
        <f>I39*AP39</f>
        <v>0</v>
      </c>
      <c r="AY39" s="42" t="s">
        <v>1714</v>
      </c>
      <c r="AZ39" s="42" t="s">
        <v>344</v>
      </c>
      <c r="BA39" s="1" t="s">
        <v>919</v>
      </c>
      <c r="BC39" s="46">
        <f>AW39+AX39</f>
        <v>0</v>
      </c>
      <c r="BD39" s="46">
        <f>J39/(100-BE39)*100</f>
        <v>0</v>
      </c>
      <c r="BE39" s="46">
        <v>0</v>
      </c>
      <c r="BF39" s="46">
        <f>39</f>
        <v>39</v>
      </c>
      <c r="BH39" s="46">
        <f>I39*AO39</f>
        <v>0</v>
      </c>
      <c r="BI39" s="46">
        <f>I39*AP39</f>
        <v>0</v>
      </c>
      <c r="BJ39" s="46">
        <f>I39*J39</f>
        <v>0</v>
      </c>
      <c r="BK39" s="46"/>
      <c r="BL39" s="46"/>
    </row>
    <row r="40" spans="1:15" ht="15" customHeight="1">
      <c r="A40" s="10"/>
      <c r="D40" s="32" t="s">
        <v>1333</v>
      </c>
      <c r="G40" s="32" t="s">
        <v>1163</v>
      </c>
      <c r="I40" s="58">
        <v>18</v>
      </c>
      <c r="O40" s="30"/>
    </row>
    <row r="41" spans="1:47" ht="15" customHeight="1">
      <c r="A41" s="3" t="s">
        <v>1163</v>
      </c>
      <c r="B41" s="9" t="s">
        <v>1712</v>
      </c>
      <c r="C41" s="9" t="s">
        <v>980</v>
      </c>
      <c r="D41" s="64" t="s">
        <v>1045</v>
      </c>
      <c r="E41" s="64"/>
      <c r="F41" s="64"/>
      <c r="G41" s="64"/>
      <c r="H41" s="41" t="s">
        <v>1537</v>
      </c>
      <c r="I41" s="41" t="s">
        <v>1537</v>
      </c>
      <c r="J41" s="41" t="s">
        <v>1537</v>
      </c>
      <c r="K41" s="50">
        <f>SUM(K42:K46)</f>
        <v>0</v>
      </c>
      <c r="L41" s="50">
        <f>SUM(L42:L46)</f>
        <v>0</v>
      </c>
      <c r="M41" s="50">
        <f>SUM(M42:M46)</f>
        <v>0</v>
      </c>
      <c r="N41" s="1" t="s">
        <v>1163</v>
      </c>
      <c r="O41" s="45" t="s">
        <v>1163</v>
      </c>
      <c r="AI41" s="1" t="s">
        <v>1712</v>
      </c>
      <c r="AS41" s="50">
        <f>SUM(AJ42:AJ46)</f>
        <v>0</v>
      </c>
      <c r="AT41" s="50">
        <f>SUM(AK42:AK46)</f>
        <v>0</v>
      </c>
      <c r="AU41" s="50">
        <f>SUM(AL42:AL46)</f>
        <v>0</v>
      </c>
    </row>
    <row r="42" spans="1:64" ht="15" customHeight="1">
      <c r="A42" s="52" t="s">
        <v>1233</v>
      </c>
      <c r="B42" s="43" t="s">
        <v>1712</v>
      </c>
      <c r="C42" s="43" t="s">
        <v>1399</v>
      </c>
      <c r="D42" s="61" t="s">
        <v>626</v>
      </c>
      <c r="E42" s="61"/>
      <c r="F42" s="61"/>
      <c r="G42" s="61"/>
      <c r="H42" s="43" t="s">
        <v>392</v>
      </c>
      <c r="I42" s="46">
        <v>18</v>
      </c>
      <c r="J42" s="46">
        <v>0</v>
      </c>
      <c r="K42" s="46">
        <f>I42*AO42</f>
        <v>0</v>
      </c>
      <c r="L42" s="46">
        <f>I42*AP42</f>
        <v>0</v>
      </c>
      <c r="M42" s="46">
        <f>I42*J42</f>
        <v>0</v>
      </c>
      <c r="N42" s="46">
        <v>0</v>
      </c>
      <c r="O42" s="6" t="s">
        <v>1149</v>
      </c>
      <c r="Z42" s="46">
        <f>IF(AQ42="5",BJ42,0)</f>
        <v>0</v>
      </c>
      <c r="AB42" s="46">
        <f>IF(AQ42="1",BH42,0)</f>
        <v>0</v>
      </c>
      <c r="AC42" s="46">
        <f>IF(AQ42="1",BI42,0)</f>
        <v>0</v>
      </c>
      <c r="AD42" s="46">
        <f>IF(AQ42="7",BH42,0)</f>
        <v>0</v>
      </c>
      <c r="AE42" s="46">
        <f>IF(AQ42="7",BI42,0)</f>
        <v>0</v>
      </c>
      <c r="AF42" s="46">
        <f>IF(AQ42="2",BH42,0)</f>
        <v>0</v>
      </c>
      <c r="AG42" s="46">
        <f>IF(AQ42="2",BI42,0)</f>
        <v>0</v>
      </c>
      <c r="AH42" s="46">
        <f>IF(AQ42="0",BJ42,0)</f>
        <v>0</v>
      </c>
      <c r="AI42" s="1" t="s">
        <v>1712</v>
      </c>
      <c r="AJ42" s="46">
        <f>IF(AN42=0,M42,0)</f>
        <v>0</v>
      </c>
      <c r="AK42" s="46">
        <f>IF(AN42=15,M42,0)</f>
        <v>0</v>
      </c>
      <c r="AL42" s="46">
        <f>IF(AN42=21,M42,0)</f>
        <v>0</v>
      </c>
      <c r="AN42" s="46">
        <v>21</v>
      </c>
      <c r="AO42" s="46">
        <f>J42*0</f>
        <v>0</v>
      </c>
      <c r="AP42" s="46">
        <f>J42*(1-0)</f>
        <v>0</v>
      </c>
      <c r="AQ42" s="42" t="s">
        <v>1157</v>
      </c>
      <c r="AV42" s="46">
        <f>AW42+AX42</f>
        <v>0</v>
      </c>
      <c r="AW42" s="46">
        <f>I42*AO42</f>
        <v>0</v>
      </c>
      <c r="AX42" s="46">
        <f>I42*AP42</f>
        <v>0</v>
      </c>
      <c r="AY42" s="42" t="s">
        <v>1454</v>
      </c>
      <c r="AZ42" s="42" t="s">
        <v>344</v>
      </c>
      <c r="BA42" s="1" t="s">
        <v>919</v>
      </c>
      <c r="BC42" s="46">
        <f>AW42+AX42</f>
        <v>0</v>
      </c>
      <c r="BD42" s="46">
        <f>J42/(100-BE42)*100</f>
        <v>0</v>
      </c>
      <c r="BE42" s="46">
        <v>0</v>
      </c>
      <c r="BF42" s="46">
        <f>42</f>
        <v>42</v>
      </c>
      <c r="BH42" s="46">
        <f>I42*AO42</f>
        <v>0</v>
      </c>
      <c r="BI42" s="46">
        <f>I42*AP42</f>
        <v>0</v>
      </c>
      <c r="BJ42" s="46">
        <f>I42*J42</f>
        <v>0</v>
      </c>
      <c r="BK42" s="46"/>
      <c r="BL42" s="46"/>
    </row>
    <row r="43" spans="1:15" ht="15" customHeight="1">
      <c r="A43" s="10"/>
      <c r="D43" s="32" t="s">
        <v>1333</v>
      </c>
      <c r="G43" s="32" t="s">
        <v>1163</v>
      </c>
      <c r="I43" s="58">
        <v>18</v>
      </c>
      <c r="O43" s="30"/>
    </row>
    <row r="44" spans="1:64" ht="15" customHeight="1">
      <c r="A44" s="52" t="s">
        <v>472</v>
      </c>
      <c r="B44" s="43" t="s">
        <v>1712</v>
      </c>
      <c r="C44" s="43" t="s">
        <v>1261</v>
      </c>
      <c r="D44" s="61" t="s">
        <v>542</v>
      </c>
      <c r="E44" s="61"/>
      <c r="F44" s="61"/>
      <c r="G44" s="61"/>
      <c r="H44" s="43" t="s">
        <v>1365</v>
      </c>
      <c r="I44" s="46">
        <v>220</v>
      </c>
      <c r="J44" s="46">
        <v>0</v>
      </c>
      <c r="K44" s="46">
        <f>I44*AO44</f>
        <v>0</v>
      </c>
      <c r="L44" s="46">
        <f>I44*AP44</f>
        <v>0</v>
      </c>
      <c r="M44" s="46">
        <f>I44*J44</f>
        <v>0</v>
      </c>
      <c r="N44" s="46">
        <v>0.20475</v>
      </c>
      <c r="O44" s="6" t="s">
        <v>1149</v>
      </c>
      <c r="Z44" s="46">
        <f>IF(AQ44="5",BJ44,0)</f>
        <v>0</v>
      </c>
      <c r="AB44" s="46">
        <f>IF(AQ44="1",BH44,0)</f>
        <v>0</v>
      </c>
      <c r="AC44" s="46">
        <f>IF(AQ44="1",BI44,0)</f>
        <v>0</v>
      </c>
      <c r="AD44" s="46">
        <f>IF(AQ44="7",BH44,0)</f>
        <v>0</v>
      </c>
      <c r="AE44" s="46">
        <f>IF(AQ44="7",BI44,0)</f>
        <v>0</v>
      </c>
      <c r="AF44" s="46">
        <f>IF(AQ44="2",BH44,0)</f>
        <v>0</v>
      </c>
      <c r="AG44" s="46">
        <f>IF(AQ44="2",BI44,0)</f>
        <v>0</v>
      </c>
      <c r="AH44" s="46">
        <f>IF(AQ44="0",BJ44,0)</f>
        <v>0</v>
      </c>
      <c r="AI44" s="1" t="s">
        <v>1712</v>
      </c>
      <c r="AJ44" s="46">
        <f>IF(AN44=0,M44,0)</f>
        <v>0</v>
      </c>
      <c r="AK44" s="46">
        <f>IF(AN44=15,M44,0)</f>
        <v>0</v>
      </c>
      <c r="AL44" s="46">
        <f>IF(AN44=21,M44,0)</f>
        <v>0</v>
      </c>
      <c r="AN44" s="46">
        <v>21</v>
      </c>
      <c r="AO44" s="46">
        <f>J44*0.586725663716814</f>
        <v>0</v>
      </c>
      <c r="AP44" s="46">
        <f>J44*(1-0.586725663716814)</f>
        <v>0</v>
      </c>
      <c r="AQ44" s="42" t="s">
        <v>1157</v>
      </c>
      <c r="AV44" s="46">
        <f>AW44+AX44</f>
        <v>0</v>
      </c>
      <c r="AW44" s="46">
        <f>I44*AO44</f>
        <v>0</v>
      </c>
      <c r="AX44" s="46">
        <f>I44*AP44</f>
        <v>0</v>
      </c>
      <c r="AY44" s="42" t="s">
        <v>1454</v>
      </c>
      <c r="AZ44" s="42" t="s">
        <v>344</v>
      </c>
      <c r="BA44" s="1" t="s">
        <v>919</v>
      </c>
      <c r="BC44" s="46">
        <f>AW44+AX44</f>
        <v>0</v>
      </c>
      <c r="BD44" s="46">
        <f>J44/(100-BE44)*100</f>
        <v>0</v>
      </c>
      <c r="BE44" s="46">
        <v>0</v>
      </c>
      <c r="BF44" s="46">
        <f>44</f>
        <v>44</v>
      </c>
      <c r="BH44" s="46">
        <f>I44*AO44</f>
        <v>0</v>
      </c>
      <c r="BI44" s="46">
        <f>I44*AP44</f>
        <v>0</v>
      </c>
      <c r="BJ44" s="46">
        <f>I44*J44</f>
        <v>0</v>
      </c>
      <c r="BK44" s="46"/>
      <c r="BL44" s="46"/>
    </row>
    <row r="45" spans="1:15" ht="15" customHeight="1">
      <c r="A45" s="10"/>
      <c r="D45" s="32" t="s">
        <v>603</v>
      </c>
      <c r="G45" s="32" t="s">
        <v>1163</v>
      </c>
      <c r="I45" s="58">
        <v>220.00000000000003</v>
      </c>
      <c r="O45" s="30"/>
    </row>
    <row r="46" spans="1:64" ht="15" customHeight="1">
      <c r="A46" s="52" t="s">
        <v>988</v>
      </c>
      <c r="B46" s="43" t="s">
        <v>1712</v>
      </c>
      <c r="C46" s="43" t="s">
        <v>254</v>
      </c>
      <c r="D46" s="61" t="s">
        <v>1452</v>
      </c>
      <c r="E46" s="61"/>
      <c r="F46" s="61"/>
      <c r="G46" s="61"/>
      <c r="H46" s="43" t="s">
        <v>1604</v>
      </c>
      <c r="I46" s="46">
        <v>80</v>
      </c>
      <c r="J46" s="46">
        <v>0</v>
      </c>
      <c r="K46" s="46">
        <f>I46*AO46</f>
        <v>0</v>
      </c>
      <c r="L46" s="46">
        <f>I46*AP46</f>
        <v>0</v>
      </c>
      <c r="M46" s="46">
        <f>I46*J46</f>
        <v>0</v>
      </c>
      <c r="N46" s="46">
        <v>0</v>
      </c>
      <c r="O46" s="6" t="s">
        <v>1149</v>
      </c>
      <c r="Z46" s="46">
        <f>IF(AQ46="5",BJ46,0)</f>
        <v>0</v>
      </c>
      <c r="AB46" s="46">
        <f>IF(AQ46="1",BH46,0)</f>
        <v>0</v>
      </c>
      <c r="AC46" s="46">
        <f>IF(AQ46="1",BI46,0)</f>
        <v>0</v>
      </c>
      <c r="AD46" s="46">
        <f>IF(AQ46="7",BH46,0)</f>
        <v>0</v>
      </c>
      <c r="AE46" s="46">
        <f>IF(AQ46="7",BI46,0)</f>
        <v>0</v>
      </c>
      <c r="AF46" s="46">
        <f>IF(AQ46="2",BH46,0)</f>
        <v>0</v>
      </c>
      <c r="AG46" s="46">
        <f>IF(AQ46="2",BI46,0)</f>
        <v>0</v>
      </c>
      <c r="AH46" s="46">
        <f>IF(AQ46="0",BJ46,0)</f>
        <v>0</v>
      </c>
      <c r="AI46" s="1" t="s">
        <v>1712</v>
      </c>
      <c r="AJ46" s="46">
        <f>IF(AN46=0,M46,0)</f>
        <v>0</v>
      </c>
      <c r="AK46" s="46">
        <f>IF(AN46=15,M46,0)</f>
        <v>0</v>
      </c>
      <c r="AL46" s="46">
        <f>IF(AN46=21,M46,0)</f>
        <v>0</v>
      </c>
      <c r="AN46" s="46">
        <v>21</v>
      </c>
      <c r="AO46" s="46">
        <f>J46*0</f>
        <v>0</v>
      </c>
      <c r="AP46" s="46">
        <f>J46*(1-0)</f>
        <v>0</v>
      </c>
      <c r="AQ46" s="42" t="s">
        <v>1157</v>
      </c>
      <c r="AV46" s="46">
        <f>AW46+AX46</f>
        <v>0</v>
      </c>
      <c r="AW46" s="46">
        <f>I46*AO46</f>
        <v>0</v>
      </c>
      <c r="AX46" s="46">
        <f>I46*AP46</f>
        <v>0</v>
      </c>
      <c r="AY46" s="42" t="s">
        <v>1454</v>
      </c>
      <c r="AZ46" s="42" t="s">
        <v>344</v>
      </c>
      <c r="BA46" s="1" t="s">
        <v>919</v>
      </c>
      <c r="BC46" s="46">
        <f>AW46+AX46</f>
        <v>0</v>
      </c>
      <c r="BD46" s="46">
        <f>J46/(100-BE46)*100</f>
        <v>0</v>
      </c>
      <c r="BE46" s="46">
        <v>0</v>
      </c>
      <c r="BF46" s="46">
        <f>46</f>
        <v>46</v>
      </c>
      <c r="BH46" s="46">
        <f>I46*AO46</f>
        <v>0</v>
      </c>
      <c r="BI46" s="46">
        <f>I46*AP46</f>
        <v>0</v>
      </c>
      <c r="BJ46" s="46">
        <f>I46*J46</f>
        <v>0</v>
      </c>
      <c r="BK46" s="46"/>
      <c r="BL46" s="46"/>
    </row>
    <row r="47" spans="1:15" ht="15" customHeight="1">
      <c r="A47" s="10"/>
      <c r="D47" s="32" t="s">
        <v>1627</v>
      </c>
      <c r="G47" s="32" t="s">
        <v>1163</v>
      </c>
      <c r="I47" s="58">
        <v>80</v>
      </c>
      <c r="O47" s="30"/>
    </row>
    <row r="48" spans="1:47" ht="15" customHeight="1">
      <c r="A48" s="3" t="s">
        <v>1163</v>
      </c>
      <c r="B48" s="9" t="s">
        <v>1712</v>
      </c>
      <c r="C48" s="9" t="s">
        <v>1469</v>
      </c>
      <c r="D48" s="64" t="s">
        <v>465</v>
      </c>
      <c r="E48" s="64"/>
      <c r="F48" s="64"/>
      <c r="G48" s="64"/>
      <c r="H48" s="41" t="s">
        <v>1537</v>
      </c>
      <c r="I48" s="41" t="s">
        <v>1537</v>
      </c>
      <c r="J48" s="41" t="s">
        <v>1537</v>
      </c>
      <c r="K48" s="50">
        <f>SUM(K49:K60)</f>
        <v>0</v>
      </c>
      <c r="L48" s="50">
        <f>SUM(L49:L60)</f>
        <v>0</v>
      </c>
      <c r="M48" s="50">
        <f>SUM(M49:M60)</f>
        <v>0</v>
      </c>
      <c r="N48" s="1" t="s">
        <v>1163</v>
      </c>
      <c r="O48" s="45" t="s">
        <v>1163</v>
      </c>
      <c r="AI48" s="1" t="s">
        <v>1712</v>
      </c>
      <c r="AS48" s="50">
        <f>SUM(AJ49:AJ60)</f>
        <v>0</v>
      </c>
      <c r="AT48" s="50">
        <f>SUM(AK49:AK60)</f>
        <v>0</v>
      </c>
      <c r="AU48" s="50">
        <f>SUM(AL49:AL60)</f>
        <v>0</v>
      </c>
    </row>
    <row r="49" spans="1:64" ht="15" customHeight="1">
      <c r="A49" s="52" t="s">
        <v>639</v>
      </c>
      <c r="B49" s="43" t="s">
        <v>1712</v>
      </c>
      <c r="C49" s="43" t="s">
        <v>1833</v>
      </c>
      <c r="D49" s="61" t="s">
        <v>837</v>
      </c>
      <c r="E49" s="61"/>
      <c r="F49" s="61"/>
      <c r="G49" s="61"/>
      <c r="H49" s="43" t="s">
        <v>392</v>
      </c>
      <c r="I49" s="46">
        <v>18</v>
      </c>
      <c r="J49" s="46">
        <v>0</v>
      </c>
      <c r="K49" s="46">
        <f>I49*AO49</f>
        <v>0</v>
      </c>
      <c r="L49" s="46">
        <f>I49*AP49</f>
        <v>0</v>
      </c>
      <c r="M49" s="46">
        <f>I49*J49</f>
        <v>0</v>
      </c>
      <c r="N49" s="46">
        <v>0</v>
      </c>
      <c r="O49" s="6" t="s">
        <v>1149</v>
      </c>
      <c r="Z49" s="46">
        <f>IF(AQ49="5",BJ49,0)</f>
        <v>0</v>
      </c>
      <c r="AB49" s="46">
        <f>IF(AQ49="1",BH49,0)</f>
        <v>0</v>
      </c>
      <c r="AC49" s="46">
        <f>IF(AQ49="1",BI49,0)</f>
        <v>0</v>
      </c>
      <c r="AD49" s="46">
        <f>IF(AQ49="7",BH49,0)</f>
        <v>0</v>
      </c>
      <c r="AE49" s="46">
        <f>IF(AQ49="7",BI49,0)</f>
        <v>0</v>
      </c>
      <c r="AF49" s="46">
        <f>IF(AQ49="2",BH49,0)</f>
        <v>0</v>
      </c>
      <c r="AG49" s="46">
        <f>IF(AQ49="2",BI49,0)</f>
        <v>0</v>
      </c>
      <c r="AH49" s="46">
        <f>IF(AQ49="0",BJ49,0)</f>
        <v>0</v>
      </c>
      <c r="AI49" s="1" t="s">
        <v>1712</v>
      </c>
      <c r="AJ49" s="46">
        <f>IF(AN49=0,M49,0)</f>
        <v>0</v>
      </c>
      <c r="AK49" s="46">
        <f>IF(AN49=15,M49,0)</f>
        <v>0</v>
      </c>
      <c r="AL49" s="46">
        <f>IF(AN49=21,M49,0)</f>
        <v>0</v>
      </c>
      <c r="AN49" s="46">
        <v>21</v>
      </c>
      <c r="AO49" s="46">
        <f>J49*0</f>
        <v>0</v>
      </c>
      <c r="AP49" s="46">
        <f>J49*(1-0)</f>
        <v>0</v>
      </c>
      <c r="AQ49" s="42" t="s">
        <v>1157</v>
      </c>
      <c r="AV49" s="46">
        <f>AW49+AX49</f>
        <v>0</v>
      </c>
      <c r="AW49" s="46">
        <f>I49*AO49</f>
        <v>0</v>
      </c>
      <c r="AX49" s="46">
        <f>I49*AP49</f>
        <v>0</v>
      </c>
      <c r="AY49" s="42" t="s">
        <v>1773</v>
      </c>
      <c r="AZ49" s="42" t="s">
        <v>344</v>
      </c>
      <c r="BA49" s="1" t="s">
        <v>919</v>
      </c>
      <c r="BC49" s="46">
        <f>AW49+AX49</f>
        <v>0</v>
      </c>
      <c r="BD49" s="46">
        <f>J49/(100-BE49)*100</f>
        <v>0</v>
      </c>
      <c r="BE49" s="46">
        <v>0</v>
      </c>
      <c r="BF49" s="46">
        <f>49</f>
        <v>49</v>
      </c>
      <c r="BH49" s="46">
        <f>I49*AO49</f>
        <v>0</v>
      </c>
      <c r="BI49" s="46">
        <f>I49*AP49</f>
        <v>0</v>
      </c>
      <c r="BJ49" s="46">
        <f>I49*J49</f>
        <v>0</v>
      </c>
      <c r="BK49" s="46"/>
      <c r="BL49" s="46"/>
    </row>
    <row r="50" spans="1:15" ht="15" customHeight="1">
      <c r="A50" s="10"/>
      <c r="D50" s="32" t="s">
        <v>1333</v>
      </c>
      <c r="G50" s="32" t="s">
        <v>1163</v>
      </c>
      <c r="I50" s="58">
        <v>18</v>
      </c>
      <c r="O50" s="30"/>
    </row>
    <row r="51" spans="1:64" ht="15" customHeight="1">
      <c r="A51" s="52" t="s">
        <v>153</v>
      </c>
      <c r="B51" s="43" t="s">
        <v>1712</v>
      </c>
      <c r="C51" s="43" t="s">
        <v>43</v>
      </c>
      <c r="D51" s="61" t="s">
        <v>327</v>
      </c>
      <c r="E51" s="61"/>
      <c r="F51" s="61"/>
      <c r="G51" s="61"/>
      <c r="H51" s="43" t="s">
        <v>392</v>
      </c>
      <c r="I51" s="46">
        <v>18</v>
      </c>
      <c r="J51" s="46">
        <v>0</v>
      </c>
      <c r="K51" s="46">
        <f>I51*AO51</f>
        <v>0</v>
      </c>
      <c r="L51" s="46">
        <f>I51*AP51</f>
        <v>0</v>
      </c>
      <c r="M51" s="46">
        <f>I51*J51</f>
        <v>0</v>
      </c>
      <c r="N51" s="46">
        <v>0</v>
      </c>
      <c r="O51" s="6" t="s">
        <v>1149</v>
      </c>
      <c r="Z51" s="46">
        <f>IF(AQ51="5",BJ51,0)</f>
        <v>0</v>
      </c>
      <c r="AB51" s="46">
        <f>IF(AQ51="1",BH51,0)</f>
        <v>0</v>
      </c>
      <c r="AC51" s="46">
        <f>IF(AQ51="1",BI51,0)</f>
        <v>0</v>
      </c>
      <c r="AD51" s="46">
        <f>IF(AQ51="7",BH51,0)</f>
        <v>0</v>
      </c>
      <c r="AE51" s="46">
        <f>IF(AQ51="7",BI51,0)</f>
        <v>0</v>
      </c>
      <c r="AF51" s="46">
        <f>IF(AQ51="2",BH51,0)</f>
        <v>0</v>
      </c>
      <c r="AG51" s="46">
        <f>IF(AQ51="2",BI51,0)</f>
        <v>0</v>
      </c>
      <c r="AH51" s="46">
        <f>IF(AQ51="0",BJ51,0)</f>
        <v>0</v>
      </c>
      <c r="AI51" s="1" t="s">
        <v>1712</v>
      </c>
      <c r="AJ51" s="46">
        <f>IF(AN51=0,M51,0)</f>
        <v>0</v>
      </c>
      <c r="AK51" s="46">
        <f>IF(AN51=15,M51,0)</f>
        <v>0</v>
      </c>
      <c r="AL51" s="46">
        <f>IF(AN51=21,M51,0)</f>
        <v>0</v>
      </c>
      <c r="AN51" s="46">
        <v>21</v>
      </c>
      <c r="AO51" s="46">
        <f>J51*0</f>
        <v>0</v>
      </c>
      <c r="AP51" s="46">
        <f>J51*(1-0)</f>
        <v>0</v>
      </c>
      <c r="AQ51" s="42" t="s">
        <v>1157</v>
      </c>
      <c r="AV51" s="46">
        <f>AW51+AX51</f>
        <v>0</v>
      </c>
      <c r="AW51" s="46">
        <f>I51*AO51</f>
        <v>0</v>
      </c>
      <c r="AX51" s="46">
        <f>I51*AP51</f>
        <v>0</v>
      </c>
      <c r="AY51" s="42" t="s">
        <v>1773</v>
      </c>
      <c r="AZ51" s="42" t="s">
        <v>344</v>
      </c>
      <c r="BA51" s="1" t="s">
        <v>919</v>
      </c>
      <c r="BC51" s="46">
        <f>AW51+AX51</f>
        <v>0</v>
      </c>
      <c r="BD51" s="46">
        <f>J51/(100-BE51)*100</f>
        <v>0</v>
      </c>
      <c r="BE51" s="46">
        <v>0</v>
      </c>
      <c r="BF51" s="46">
        <f>51</f>
        <v>51</v>
      </c>
      <c r="BH51" s="46">
        <f>I51*AO51</f>
        <v>0</v>
      </c>
      <c r="BI51" s="46">
        <f>I51*AP51</f>
        <v>0</v>
      </c>
      <c r="BJ51" s="46">
        <f>I51*J51</f>
        <v>0</v>
      </c>
      <c r="BK51" s="46"/>
      <c r="BL51" s="46"/>
    </row>
    <row r="52" spans="1:15" ht="15" customHeight="1">
      <c r="A52" s="10"/>
      <c r="D52" s="32" t="s">
        <v>1333</v>
      </c>
      <c r="G52" s="32" t="s">
        <v>1163</v>
      </c>
      <c r="I52" s="58">
        <v>18</v>
      </c>
      <c r="O52" s="30"/>
    </row>
    <row r="53" spans="1:64" ht="15" customHeight="1">
      <c r="A53" s="52" t="s">
        <v>1169</v>
      </c>
      <c r="B53" s="43" t="s">
        <v>1712</v>
      </c>
      <c r="C53" s="43" t="s">
        <v>1234</v>
      </c>
      <c r="D53" s="61" t="s">
        <v>1412</v>
      </c>
      <c r="E53" s="61"/>
      <c r="F53" s="61"/>
      <c r="G53" s="61"/>
      <c r="H53" s="43" t="s">
        <v>392</v>
      </c>
      <c r="I53" s="46">
        <v>18</v>
      </c>
      <c r="J53" s="46">
        <v>0</v>
      </c>
      <c r="K53" s="46">
        <f>I53*AO53</f>
        <v>0</v>
      </c>
      <c r="L53" s="46">
        <f>I53*AP53</f>
        <v>0</v>
      </c>
      <c r="M53" s="46">
        <f>I53*J53</f>
        <v>0</v>
      </c>
      <c r="N53" s="46">
        <v>0</v>
      </c>
      <c r="O53" s="6" t="s">
        <v>1149</v>
      </c>
      <c r="Z53" s="46">
        <f>IF(AQ53="5",BJ53,0)</f>
        <v>0</v>
      </c>
      <c r="AB53" s="46">
        <f>IF(AQ53="1",BH53,0)</f>
        <v>0</v>
      </c>
      <c r="AC53" s="46">
        <f>IF(AQ53="1",BI53,0)</f>
        <v>0</v>
      </c>
      <c r="AD53" s="46">
        <f>IF(AQ53="7",BH53,0)</f>
        <v>0</v>
      </c>
      <c r="AE53" s="46">
        <f>IF(AQ53="7",BI53,0)</f>
        <v>0</v>
      </c>
      <c r="AF53" s="46">
        <f>IF(AQ53="2",BH53,0)</f>
        <v>0</v>
      </c>
      <c r="AG53" s="46">
        <f>IF(AQ53="2",BI53,0)</f>
        <v>0</v>
      </c>
      <c r="AH53" s="46">
        <f>IF(AQ53="0",BJ53,0)</f>
        <v>0</v>
      </c>
      <c r="AI53" s="1" t="s">
        <v>1712</v>
      </c>
      <c r="AJ53" s="46">
        <f>IF(AN53=0,M53,0)</f>
        <v>0</v>
      </c>
      <c r="AK53" s="46">
        <f>IF(AN53=15,M53,0)</f>
        <v>0</v>
      </c>
      <c r="AL53" s="46">
        <f>IF(AN53=21,M53,0)</f>
        <v>0</v>
      </c>
      <c r="AN53" s="46">
        <v>21</v>
      </c>
      <c r="AO53" s="46">
        <f>J53*0</f>
        <v>0</v>
      </c>
      <c r="AP53" s="46">
        <f>J53*(1-0)</f>
        <v>0</v>
      </c>
      <c r="AQ53" s="42" t="s">
        <v>1157</v>
      </c>
      <c r="AV53" s="46">
        <f>AW53+AX53</f>
        <v>0</v>
      </c>
      <c r="AW53" s="46">
        <f>I53*AO53</f>
        <v>0</v>
      </c>
      <c r="AX53" s="46">
        <f>I53*AP53</f>
        <v>0</v>
      </c>
      <c r="AY53" s="42" t="s">
        <v>1773</v>
      </c>
      <c r="AZ53" s="42" t="s">
        <v>344</v>
      </c>
      <c r="BA53" s="1" t="s">
        <v>919</v>
      </c>
      <c r="BC53" s="46">
        <f>AW53+AX53</f>
        <v>0</v>
      </c>
      <c r="BD53" s="46">
        <f>J53/(100-BE53)*100</f>
        <v>0</v>
      </c>
      <c r="BE53" s="46">
        <v>0</v>
      </c>
      <c r="BF53" s="46">
        <f>53</f>
        <v>53</v>
      </c>
      <c r="BH53" s="46">
        <f>I53*AO53</f>
        <v>0</v>
      </c>
      <c r="BI53" s="46">
        <f>I53*AP53</f>
        <v>0</v>
      </c>
      <c r="BJ53" s="46">
        <f>I53*J53</f>
        <v>0</v>
      </c>
      <c r="BK53" s="46"/>
      <c r="BL53" s="46"/>
    </row>
    <row r="54" spans="1:15" ht="15" customHeight="1">
      <c r="A54" s="10"/>
      <c r="D54" s="32" t="s">
        <v>1333</v>
      </c>
      <c r="G54" s="32" t="s">
        <v>1163</v>
      </c>
      <c r="I54" s="58">
        <v>18</v>
      </c>
      <c r="O54" s="30"/>
    </row>
    <row r="55" spans="1:15" ht="13.5" customHeight="1">
      <c r="A55" s="10"/>
      <c r="C55" s="36" t="s">
        <v>144</v>
      </c>
      <c r="D55" s="65" t="s">
        <v>1502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</row>
    <row r="56" spans="1:64" ht="15" customHeight="1">
      <c r="A56" s="52" t="s">
        <v>1333</v>
      </c>
      <c r="B56" s="43" t="s">
        <v>1712</v>
      </c>
      <c r="C56" s="43" t="s">
        <v>25</v>
      </c>
      <c r="D56" s="61" t="s">
        <v>1019</v>
      </c>
      <c r="E56" s="61"/>
      <c r="F56" s="61"/>
      <c r="G56" s="61"/>
      <c r="H56" s="43" t="s">
        <v>392</v>
      </c>
      <c r="I56" s="46">
        <v>18</v>
      </c>
      <c r="J56" s="46">
        <v>0</v>
      </c>
      <c r="K56" s="46">
        <f>I56*AO56</f>
        <v>0</v>
      </c>
      <c r="L56" s="46">
        <f>I56*AP56</f>
        <v>0</v>
      </c>
      <c r="M56" s="46">
        <f>I56*J56</f>
        <v>0</v>
      </c>
      <c r="N56" s="46">
        <v>0</v>
      </c>
      <c r="O56" s="6" t="s">
        <v>1149</v>
      </c>
      <c r="Z56" s="46">
        <f>IF(AQ56="5",BJ56,0)</f>
        <v>0</v>
      </c>
      <c r="AB56" s="46">
        <f>IF(AQ56="1",BH56,0)</f>
        <v>0</v>
      </c>
      <c r="AC56" s="46">
        <f>IF(AQ56="1",BI56,0)</f>
        <v>0</v>
      </c>
      <c r="AD56" s="46">
        <f>IF(AQ56="7",BH56,0)</f>
        <v>0</v>
      </c>
      <c r="AE56" s="46">
        <f>IF(AQ56="7",BI56,0)</f>
        <v>0</v>
      </c>
      <c r="AF56" s="46">
        <f>IF(AQ56="2",BH56,0)</f>
        <v>0</v>
      </c>
      <c r="AG56" s="46">
        <f>IF(AQ56="2",BI56,0)</f>
        <v>0</v>
      </c>
      <c r="AH56" s="46">
        <f>IF(AQ56="0",BJ56,0)</f>
        <v>0</v>
      </c>
      <c r="AI56" s="1" t="s">
        <v>1712</v>
      </c>
      <c r="AJ56" s="46">
        <f>IF(AN56=0,M56,0)</f>
        <v>0</v>
      </c>
      <c r="AK56" s="46">
        <f>IF(AN56=15,M56,0)</f>
        <v>0</v>
      </c>
      <c r="AL56" s="46">
        <f>IF(AN56=21,M56,0)</f>
        <v>0</v>
      </c>
      <c r="AN56" s="46">
        <v>21</v>
      </c>
      <c r="AO56" s="46">
        <f>J56*0</f>
        <v>0</v>
      </c>
      <c r="AP56" s="46">
        <f>J56*(1-0)</f>
        <v>0</v>
      </c>
      <c r="AQ56" s="42" t="s">
        <v>1157</v>
      </c>
      <c r="AV56" s="46">
        <f>AW56+AX56</f>
        <v>0</v>
      </c>
      <c r="AW56" s="46">
        <f>I56*AO56</f>
        <v>0</v>
      </c>
      <c r="AX56" s="46">
        <f>I56*AP56</f>
        <v>0</v>
      </c>
      <c r="AY56" s="42" t="s">
        <v>1773</v>
      </c>
      <c r="AZ56" s="42" t="s">
        <v>344</v>
      </c>
      <c r="BA56" s="1" t="s">
        <v>919</v>
      </c>
      <c r="BC56" s="46">
        <f>AW56+AX56</f>
        <v>0</v>
      </c>
      <c r="BD56" s="46">
        <f>J56/(100-BE56)*100</f>
        <v>0</v>
      </c>
      <c r="BE56" s="46">
        <v>0</v>
      </c>
      <c r="BF56" s="46">
        <f>56</f>
        <v>56</v>
      </c>
      <c r="BH56" s="46">
        <f>I56*AO56</f>
        <v>0</v>
      </c>
      <c r="BI56" s="46">
        <f>I56*AP56</f>
        <v>0</v>
      </c>
      <c r="BJ56" s="46">
        <f>I56*J56</f>
        <v>0</v>
      </c>
      <c r="BK56" s="46"/>
      <c r="BL56" s="46"/>
    </row>
    <row r="57" spans="1:15" ht="15" customHeight="1">
      <c r="A57" s="10"/>
      <c r="D57" s="32" t="s">
        <v>1333</v>
      </c>
      <c r="G57" s="32" t="s">
        <v>1163</v>
      </c>
      <c r="I57" s="58">
        <v>18</v>
      </c>
      <c r="O57" s="30"/>
    </row>
    <row r="58" spans="1:64" ht="15" customHeight="1">
      <c r="A58" s="52" t="s">
        <v>1070</v>
      </c>
      <c r="B58" s="43" t="s">
        <v>1712</v>
      </c>
      <c r="C58" s="43" t="s">
        <v>1466</v>
      </c>
      <c r="D58" s="61" t="s">
        <v>1194</v>
      </c>
      <c r="E58" s="61"/>
      <c r="F58" s="61"/>
      <c r="G58" s="61"/>
      <c r="H58" s="43" t="s">
        <v>392</v>
      </c>
      <c r="I58" s="46">
        <v>4</v>
      </c>
      <c r="J58" s="46">
        <v>0</v>
      </c>
      <c r="K58" s="46">
        <f>I58*AO58</f>
        <v>0</v>
      </c>
      <c r="L58" s="46">
        <f>I58*AP58</f>
        <v>0</v>
      </c>
      <c r="M58" s="46">
        <f>I58*J58</f>
        <v>0</v>
      </c>
      <c r="N58" s="46">
        <v>0</v>
      </c>
      <c r="O58" s="6" t="s">
        <v>1149</v>
      </c>
      <c r="Z58" s="46">
        <f>IF(AQ58="5",BJ58,0)</f>
        <v>0</v>
      </c>
      <c r="AB58" s="46">
        <f>IF(AQ58="1",BH58,0)</f>
        <v>0</v>
      </c>
      <c r="AC58" s="46">
        <f>IF(AQ58="1",BI58,0)</f>
        <v>0</v>
      </c>
      <c r="AD58" s="46">
        <f>IF(AQ58="7",BH58,0)</f>
        <v>0</v>
      </c>
      <c r="AE58" s="46">
        <f>IF(AQ58="7",BI58,0)</f>
        <v>0</v>
      </c>
      <c r="AF58" s="46">
        <f>IF(AQ58="2",BH58,0)</f>
        <v>0</v>
      </c>
      <c r="AG58" s="46">
        <f>IF(AQ58="2",BI58,0)</f>
        <v>0</v>
      </c>
      <c r="AH58" s="46">
        <f>IF(AQ58="0",BJ58,0)</f>
        <v>0</v>
      </c>
      <c r="AI58" s="1" t="s">
        <v>1712</v>
      </c>
      <c r="AJ58" s="46">
        <f>IF(AN58=0,M58,0)</f>
        <v>0</v>
      </c>
      <c r="AK58" s="46">
        <f>IF(AN58=15,M58,0)</f>
        <v>0</v>
      </c>
      <c r="AL58" s="46">
        <f>IF(AN58=21,M58,0)</f>
        <v>0</v>
      </c>
      <c r="AN58" s="46">
        <v>21</v>
      </c>
      <c r="AO58" s="46">
        <f>J58*0</f>
        <v>0</v>
      </c>
      <c r="AP58" s="46">
        <f>J58*(1-0)</f>
        <v>0</v>
      </c>
      <c r="AQ58" s="42" t="s">
        <v>1157</v>
      </c>
      <c r="AV58" s="46">
        <f>AW58+AX58</f>
        <v>0</v>
      </c>
      <c r="AW58" s="46">
        <f>I58*AO58</f>
        <v>0</v>
      </c>
      <c r="AX58" s="46">
        <f>I58*AP58</f>
        <v>0</v>
      </c>
      <c r="AY58" s="42" t="s">
        <v>1773</v>
      </c>
      <c r="AZ58" s="42" t="s">
        <v>344</v>
      </c>
      <c r="BA58" s="1" t="s">
        <v>919</v>
      </c>
      <c r="BC58" s="46">
        <f>AW58+AX58</f>
        <v>0</v>
      </c>
      <c r="BD58" s="46">
        <f>J58/(100-BE58)*100</f>
        <v>0</v>
      </c>
      <c r="BE58" s="46">
        <v>0</v>
      </c>
      <c r="BF58" s="46">
        <f>58</f>
        <v>58</v>
      </c>
      <c r="BH58" s="46">
        <f>I58*AO58</f>
        <v>0</v>
      </c>
      <c r="BI58" s="46">
        <f>I58*AP58</f>
        <v>0</v>
      </c>
      <c r="BJ58" s="46">
        <f>I58*J58</f>
        <v>0</v>
      </c>
      <c r="BK58" s="46"/>
      <c r="BL58" s="46"/>
    </row>
    <row r="59" spans="1:15" ht="15" customHeight="1">
      <c r="A59" s="10"/>
      <c r="D59" s="32" t="s">
        <v>191</v>
      </c>
      <c r="G59" s="32" t="s">
        <v>1163</v>
      </c>
      <c r="I59" s="58">
        <v>4</v>
      </c>
      <c r="O59" s="30"/>
    </row>
    <row r="60" spans="1:64" ht="15" customHeight="1">
      <c r="A60" s="52" t="s">
        <v>79</v>
      </c>
      <c r="B60" s="43" t="s">
        <v>1712</v>
      </c>
      <c r="C60" s="43" t="s">
        <v>1605</v>
      </c>
      <c r="D60" s="61" t="s">
        <v>1772</v>
      </c>
      <c r="E60" s="61"/>
      <c r="F60" s="61"/>
      <c r="G60" s="61"/>
      <c r="H60" s="43" t="s">
        <v>1365</v>
      </c>
      <c r="I60" s="46">
        <v>180</v>
      </c>
      <c r="J60" s="46">
        <v>0</v>
      </c>
      <c r="K60" s="46">
        <f>I60*AO60</f>
        <v>0</v>
      </c>
      <c r="L60" s="46">
        <f>I60*AP60</f>
        <v>0</v>
      </c>
      <c r="M60" s="46">
        <f>I60*J60</f>
        <v>0</v>
      </c>
      <c r="N60" s="46">
        <v>0</v>
      </c>
      <c r="O60" s="6" t="s">
        <v>1149</v>
      </c>
      <c r="Z60" s="46">
        <f>IF(AQ60="5",BJ60,0)</f>
        <v>0</v>
      </c>
      <c r="AB60" s="46">
        <f>IF(AQ60="1",BH60,0)</f>
        <v>0</v>
      </c>
      <c r="AC60" s="46">
        <f>IF(AQ60="1",BI60,0)</f>
        <v>0</v>
      </c>
      <c r="AD60" s="46">
        <f>IF(AQ60="7",BH60,0)</f>
        <v>0</v>
      </c>
      <c r="AE60" s="46">
        <f>IF(AQ60="7",BI60,0)</f>
        <v>0</v>
      </c>
      <c r="AF60" s="46">
        <f>IF(AQ60="2",BH60,0)</f>
        <v>0</v>
      </c>
      <c r="AG60" s="46">
        <f>IF(AQ60="2",BI60,0)</f>
        <v>0</v>
      </c>
      <c r="AH60" s="46">
        <f>IF(AQ60="0",BJ60,0)</f>
        <v>0</v>
      </c>
      <c r="AI60" s="1" t="s">
        <v>1712</v>
      </c>
      <c r="AJ60" s="46">
        <f>IF(AN60=0,M60,0)</f>
        <v>0</v>
      </c>
      <c r="AK60" s="46">
        <f>IF(AN60=15,M60,0)</f>
        <v>0</v>
      </c>
      <c r="AL60" s="46">
        <f>IF(AN60=21,M60,0)</f>
        <v>0</v>
      </c>
      <c r="AN60" s="46">
        <v>21</v>
      </c>
      <c r="AO60" s="46">
        <f>J60*0</f>
        <v>0</v>
      </c>
      <c r="AP60" s="46">
        <f>J60*(1-0)</f>
        <v>0</v>
      </c>
      <c r="AQ60" s="42" t="s">
        <v>1157</v>
      </c>
      <c r="AV60" s="46">
        <f>AW60+AX60</f>
        <v>0</v>
      </c>
      <c r="AW60" s="46">
        <f>I60*AO60</f>
        <v>0</v>
      </c>
      <c r="AX60" s="46">
        <f>I60*AP60</f>
        <v>0</v>
      </c>
      <c r="AY60" s="42" t="s">
        <v>1773</v>
      </c>
      <c r="AZ60" s="42" t="s">
        <v>344</v>
      </c>
      <c r="BA60" s="1" t="s">
        <v>919</v>
      </c>
      <c r="BC60" s="46">
        <f>AW60+AX60</f>
        <v>0</v>
      </c>
      <c r="BD60" s="46">
        <f>J60/(100-BE60)*100</f>
        <v>0</v>
      </c>
      <c r="BE60" s="46">
        <v>0</v>
      </c>
      <c r="BF60" s="46">
        <f>60</f>
        <v>60</v>
      </c>
      <c r="BH60" s="46">
        <f>I60*AO60</f>
        <v>0</v>
      </c>
      <c r="BI60" s="46">
        <f>I60*AP60</f>
        <v>0</v>
      </c>
      <c r="BJ60" s="46">
        <f>I60*J60</f>
        <v>0</v>
      </c>
      <c r="BK60" s="46"/>
      <c r="BL60" s="46"/>
    </row>
    <row r="61" spans="1:15" ht="15" customHeight="1">
      <c r="A61" s="10"/>
      <c r="D61" s="32" t="s">
        <v>521</v>
      </c>
      <c r="G61" s="32" t="s">
        <v>1163</v>
      </c>
      <c r="I61" s="58">
        <v>180.00000000000003</v>
      </c>
      <c r="O61" s="30"/>
    </row>
    <row r="62" spans="1:47" ht="15" customHeight="1">
      <c r="A62" s="3" t="s">
        <v>1163</v>
      </c>
      <c r="B62" s="9" t="s">
        <v>1712</v>
      </c>
      <c r="C62" s="9" t="s">
        <v>1163</v>
      </c>
      <c r="D62" s="64" t="s">
        <v>119</v>
      </c>
      <c r="E62" s="64"/>
      <c r="F62" s="64"/>
      <c r="G62" s="64"/>
      <c r="H62" s="41" t="s">
        <v>1537</v>
      </c>
      <c r="I62" s="41" t="s">
        <v>1537</v>
      </c>
      <c r="J62" s="41" t="s">
        <v>1537</v>
      </c>
      <c r="K62" s="50">
        <f>SUM(K63:K71)</f>
        <v>0</v>
      </c>
      <c r="L62" s="50">
        <f>SUM(L63:L71)</f>
        <v>0</v>
      </c>
      <c r="M62" s="50">
        <f>SUM(M63:M71)</f>
        <v>0</v>
      </c>
      <c r="N62" s="1" t="s">
        <v>1163</v>
      </c>
      <c r="O62" s="45" t="s">
        <v>1163</v>
      </c>
      <c r="AI62" s="1" t="s">
        <v>1712</v>
      </c>
      <c r="AS62" s="50">
        <f>SUM(AJ63:AJ71)</f>
        <v>0</v>
      </c>
      <c r="AT62" s="50">
        <f>SUM(AK63:AK71)</f>
        <v>0</v>
      </c>
      <c r="AU62" s="50">
        <f>SUM(AL63:AL71)</f>
        <v>0</v>
      </c>
    </row>
    <row r="63" spans="1:64" ht="15" customHeight="1">
      <c r="A63" s="52" t="s">
        <v>1184</v>
      </c>
      <c r="B63" s="43" t="s">
        <v>1712</v>
      </c>
      <c r="C63" s="43" t="s">
        <v>422</v>
      </c>
      <c r="D63" s="61" t="s">
        <v>34</v>
      </c>
      <c r="E63" s="61"/>
      <c r="F63" s="61"/>
      <c r="G63" s="61"/>
      <c r="H63" s="43" t="s">
        <v>392</v>
      </c>
      <c r="I63" s="46">
        <v>3</v>
      </c>
      <c r="J63" s="46">
        <v>0</v>
      </c>
      <c r="K63" s="46">
        <f>I63*AO63</f>
        <v>0</v>
      </c>
      <c r="L63" s="46">
        <f>I63*AP63</f>
        <v>0</v>
      </c>
      <c r="M63" s="46">
        <f>I63*J63</f>
        <v>0</v>
      </c>
      <c r="N63" s="46">
        <v>0.05</v>
      </c>
      <c r="O63" s="6" t="s">
        <v>1149</v>
      </c>
      <c r="Z63" s="46">
        <f>IF(AQ63="5",BJ63,0)</f>
        <v>0</v>
      </c>
      <c r="AB63" s="46">
        <f>IF(AQ63="1",BH63,0)</f>
        <v>0</v>
      </c>
      <c r="AC63" s="46">
        <f>IF(AQ63="1",BI63,0)</f>
        <v>0</v>
      </c>
      <c r="AD63" s="46">
        <f>IF(AQ63="7",BH63,0)</f>
        <v>0</v>
      </c>
      <c r="AE63" s="46">
        <f>IF(AQ63="7",BI63,0)</f>
        <v>0</v>
      </c>
      <c r="AF63" s="46">
        <f>IF(AQ63="2",BH63,0)</f>
        <v>0</v>
      </c>
      <c r="AG63" s="46">
        <f>IF(AQ63="2",BI63,0)</f>
        <v>0</v>
      </c>
      <c r="AH63" s="46">
        <f>IF(AQ63="0",BJ63,0)</f>
        <v>0</v>
      </c>
      <c r="AI63" s="1" t="s">
        <v>1712</v>
      </c>
      <c r="AJ63" s="46">
        <f>IF(AN63=0,M63,0)</f>
        <v>0</v>
      </c>
      <c r="AK63" s="46">
        <f>IF(AN63=15,M63,0)</f>
        <v>0</v>
      </c>
      <c r="AL63" s="46">
        <f>IF(AN63=21,M63,0)</f>
        <v>0</v>
      </c>
      <c r="AN63" s="46">
        <v>21</v>
      </c>
      <c r="AO63" s="46">
        <f>J63*1</f>
        <v>0</v>
      </c>
      <c r="AP63" s="46">
        <f>J63*(1-1)</f>
        <v>0</v>
      </c>
      <c r="AQ63" s="42" t="s">
        <v>871</v>
      </c>
      <c r="AV63" s="46">
        <f>AW63+AX63</f>
        <v>0</v>
      </c>
      <c r="AW63" s="46">
        <f>I63*AO63</f>
        <v>0</v>
      </c>
      <c r="AX63" s="46">
        <f>I63*AP63</f>
        <v>0</v>
      </c>
      <c r="AY63" s="42" t="s">
        <v>337</v>
      </c>
      <c r="AZ63" s="42" t="s">
        <v>718</v>
      </c>
      <c r="BA63" s="1" t="s">
        <v>919</v>
      </c>
      <c r="BC63" s="46">
        <f>AW63+AX63</f>
        <v>0</v>
      </c>
      <c r="BD63" s="46">
        <f>J63/(100-BE63)*100</f>
        <v>0</v>
      </c>
      <c r="BE63" s="46">
        <v>0</v>
      </c>
      <c r="BF63" s="46">
        <f>63</f>
        <v>63</v>
      </c>
      <c r="BH63" s="46">
        <f>I63*AO63</f>
        <v>0</v>
      </c>
      <c r="BI63" s="46">
        <f>I63*AP63</f>
        <v>0</v>
      </c>
      <c r="BJ63" s="46">
        <f>I63*J63</f>
        <v>0</v>
      </c>
      <c r="BK63" s="46"/>
      <c r="BL63" s="46"/>
    </row>
    <row r="64" spans="1:15" ht="15" customHeight="1">
      <c r="A64" s="10"/>
      <c r="D64" s="32" t="s">
        <v>1430</v>
      </c>
      <c r="G64" s="32" t="s">
        <v>1163</v>
      </c>
      <c r="I64" s="58">
        <v>3.0000000000000004</v>
      </c>
      <c r="O64" s="30"/>
    </row>
    <row r="65" spans="1:15" ht="121.5" customHeight="1">
      <c r="A65" s="10"/>
      <c r="C65" s="36" t="s">
        <v>144</v>
      </c>
      <c r="D65" s="65" t="s">
        <v>1446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7"/>
    </row>
    <row r="66" spans="1:64" ht="15" customHeight="1">
      <c r="A66" s="52" t="s">
        <v>1591</v>
      </c>
      <c r="B66" s="43" t="s">
        <v>1712</v>
      </c>
      <c r="C66" s="43" t="s">
        <v>266</v>
      </c>
      <c r="D66" s="61" t="s">
        <v>681</v>
      </c>
      <c r="E66" s="61"/>
      <c r="F66" s="61"/>
      <c r="G66" s="61"/>
      <c r="H66" s="43" t="s">
        <v>1574</v>
      </c>
      <c r="I66" s="46">
        <v>51</v>
      </c>
      <c r="J66" s="46">
        <v>0</v>
      </c>
      <c r="K66" s="46">
        <f>I66*AO66</f>
        <v>0</v>
      </c>
      <c r="L66" s="46">
        <f>I66*AP66</f>
        <v>0</v>
      </c>
      <c r="M66" s="46">
        <f>I66*J66</f>
        <v>0</v>
      </c>
      <c r="N66" s="46">
        <v>0.001</v>
      </c>
      <c r="O66" s="6" t="s">
        <v>1149</v>
      </c>
      <c r="Z66" s="46">
        <f>IF(AQ66="5",BJ66,0)</f>
        <v>0</v>
      </c>
      <c r="AB66" s="46">
        <f>IF(AQ66="1",BH66,0)</f>
        <v>0</v>
      </c>
      <c r="AC66" s="46">
        <f>IF(AQ66="1",BI66,0)</f>
        <v>0</v>
      </c>
      <c r="AD66" s="46">
        <f>IF(AQ66="7",BH66,0)</f>
        <v>0</v>
      </c>
      <c r="AE66" s="46">
        <f>IF(AQ66="7",BI66,0)</f>
        <v>0</v>
      </c>
      <c r="AF66" s="46">
        <f>IF(AQ66="2",BH66,0)</f>
        <v>0</v>
      </c>
      <c r="AG66" s="46">
        <f>IF(AQ66="2",BI66,0)</f>
        <v>0</v>
      </c>
      <c r="AH66" s="46">
        <f>IF(AQ66="0",BJ66,0)</f>
        <v>0</v>
      </c>
      <c r="AI66" s="1" t="s">
        <v>1712</v>
      </c>
      <c r="AJ66" s="46">
        <f>IF(AN66=0,M66,0)</f>
        <v>0</v>
      </c>
      <c r="AK66" s="46">
        <f>IF(AN66=15,M66,0)</f>
        <v>0</v>
      </c>
      <c r="AL66" s="46">
        <f>IF(AN66=21,M66,0)</f>
        <v>0</v>
      </c>
      <c r="AN66" s="46">
        <v>21</v>
      </c>
      <c r="AO66" s="46">
        <f>J66*1</f>
        <v>0</v>
      </c>
      <c r="AP66" s="46">
        <f>J66*(1-1)</f>
        <v>0</v>
      </c>
      <c r="AQ66" s="42" t="s">
        <v>871</v>
      </c>
      <c r="AV66" s="46">
        <f>AW66+AX66</f>
        <v>0</v>
      </c>
      <c r="AW66" s="46">
        <f>I66*AO66</f>
        <v>0</v>
      </c>
      <c r="AX66" s="46">
        <f>I66*AP66</f>
        <v>0</v>
      </c>
      <c r="AY66" s="42" t="s">
        <v>337</v>
      </c>
      <c r="AZ66" s="42" t="s">
        <v>718</v>
      </c>
      <c r="BA66" s="1" t="s">
        <v>919</v>
      </c>
      <c r="BC66" s="46">
        <f>AW66+AX66</f>
        <v>0</v>
      </c>
      <c r="BD66" s="46">
        <f>J66/(100-BE66)*100</f>
        <v>0</v>
      </c>
      <c r="BE66" s="46">
        <v>0</v>
      </c>
      <c r="BF66" s="46">
        <f>66</f>
        <v>66</v>
      </c>
      <c r="BH66" s="46">
        <f>I66*AO66</f>
        <v>0</v>
      </c>
      <c r="BI66" s="46">
        <f>I66*AP66</f>
        <v>0</v>
      </c>
      <c r="BJ66" s="46">
        <f>I66*J66</f>
        <v>0</v>
      </c>
      <c r="BK66" s="46"/>
      <c r="BL66" s="46"/>
    </row>
    <row r="67" spans="1:15" ht="15" customHeight="1">
      <c r="A67" s="10"/>
      <c r="D67" s="32" t="s">
        <v>692</v>
      </c>
      <c r="G67" s="32" t="s">
        <v>1163</v>
      </c>
      <c r="I67" s="58">
        <v>51.00000000000001</v>
      </c>
      <c r="O67" s="30"/>
    </row>
    <row r="68" spans="1:64" ht="15" customHeight="1">
      <c r="A68" s="52" t="s">
        <v>726</v>
      </c>
      <c r="B68" s="43" t="s">
        <v>1712</v>
      </c>
      <c r="C68" s="43" t="s">
        <v>945</v>
      </c>
      <c r="D68" s="61" t="s">
        <v>708</v>
      </c>
      <c r="E68" s="61"/>
      <c r="F68" s="61"/>
      <c r="G68" s="61"/>
      <c r="H68" s="43" t="s">
        <v>1604</v>
      </c>
      <c r="I68" s="46">
        <v>12</v>
      </c>
      <c r="J68" s="46">
        <v>0</v>
      </c>
      <c r="K68" s="46">
        <f>I68*AO68</f>
        <v>0</v>
      </c>
      <c r="L68" s="46">
        <f>I68*AP68</f>
        <v>0</v>
      </c>
      <c r="M68" s="46">
        <f>I68*J68</f>
        <v>0</v>
      </c>
      <c r="N68" s="46">
        <v>2.5</v>
      </c>
      <c r="O68" s="6" t="s">
        <v>1149</v>
      </c>
      <c r="Z68" s="46">
        <f>IF(AQ68="5",BJ68,0)</f>
        <v>0</v>
      </c>
      <c r="AB68" s="46">
        <f>IF(AQ68="1",BH68,0)</f>
        <v>0</v>
      </c>
      <c r="AC68" s="46">
        <f>IF(AQ68="1",BI68,0)</f>
        <v>0</v>
      </c>
      <c r="AD68" s="46">
        <f>IF(AQ68="7",BH68,0)</f>
        <v>0</v>
      </c>
      <c r="AE68" s="46">
        <f>IF(AQ68="7",BI68,0)</f>
        <v>0</v>
      </c>
      <c r="AF68" s="46">
        <f>IF(AQ68="2",BH68,0)</f>
        <v>0</v>
      </c>
      <c r="AG68" s="46">
        <f>IF(AQ68="2",BI68,0)</f>
        <v>0</v>
      </c>
      <c r="AH68" s="46">
        <f>IF(AQ68="0",BJ68,0)</f>
        <v>0</v>
      </c>
      <c r="AI68" s="1" t="s">
        <v>1712</v>
      </c>
      <c r="AJ68" s="46">
        <f>IF(AN68=0,M68,0)</f>
        <v>0</v>
      </c>
      <c r="AK68" s="46">
        <f>IF(AN68=15,M68,0)</f>
        <v>0</v>
      </c>
      <c r="AL68" s="46">
        <f>IF(AN68=21,M68,0)</f>
        <v>0</v>
      </c>
      <c r="AN68" s="46">
        <v>21</v>
      </c>
      <c r="AO68" s="46">
        <f>J68*1</f>
        <v>0</v>
      </c>
      <c r="AP68" s="46">
        <f>J68*(1-1)</f>
        <v>0</v>
      </c>
      <c r="AQ68" s="42" t="s">
        <v>871</v>
      </c>
      <c r="AV68" s="46">
        <f>AW68+AX68</f>
        <v>0</v>
      </c>
      <c r="AW68" s="46">
        <f>I68*AO68</f>
        <v>0</v>
      </c>
      <c r="AX68" s="46">
        <f>I68*AP68</f>
        <v>0</v>
      </c>
      <c r="AY68" s="42" t="s">
        <v>337</v>
      </c>
      <c r="AZ68" s="42" t="s">
        <v>718</v>
      </c>
      <c r="BA68" s="1" t="s">
        <v>919</v>
      </c>
      <c r="BC68" s="46">
        <f>AW68+AX68</f>
        <v>0</v>
      </c>
      <c r="BD68" s="46">
        <f>J68/(100-BE68)*100</f>
        <v>0</v>
      </c>
      <c r="BE68" s="46">
        <v>0</v>
      </c>
      <c r="BF68" s="46">
        <f>68</f>
        <v>68</v>
      </c>
      <c r="BH68" s="46">
        <f>I68*AO68</f>
        <v>0</v>
      </c>
      <c r="BI68" s="46">
        <f>I68*AP68</f>
        <v>0</v>
      </c>
      <c r="BJ68" s="46">
        <f>I68*J68</f>
        <v>0</v>
      </c>
      <c r="BK68" s="46"/>
      <c r="BL68" s="46"/>
    </row>
    <row r="69" spans="1:15" ht="15" customHeight="1">
      <c r="A69" s="10"/>
      <c r="D69" s="32" t="s">
        <v>1233</v>
      </c>
      <c r="G69" s="32" t="s">
        <v>1163</v>
      </c>
      <c r="I69" s="58">
        <v>12.000000000000002</v>
      </c>
      <c r="O69" s="30"/>
    </row>
    <row r="70" spans="1:64" ht="15" customHeight="1">
      <c r="A70" s="52" t="s">
        <v>160</v>
      </c>
      <c r="B70" s="43" t="s">
        <v>1712</v>
      </c>
      <c r="C70" s="43" t="s">
        <v>218</v>
      </c>
      <c r="D70" s="61" t="s">
        <v>1808</v>
      </c>
      <c r="E70" s="61"/>
      <c r="F70" s="61"/>
      <c r="G70" s="61"/>
      <c r="H70" s="43" t="s">
        <v>1365</v>
      </c>
      <c r="I70" s="46">
        <v>235</v>
      </c>
      <c r="J70" s="46">
        <v>0</v>
      </c>
      <c r="K70" s="46">
        <f>I70*AO70</f>
        <v>0</v>
      </c>
      <c r="L70" s="46">
        <f>I70*AP70</f>
        <v>0</v>
      </c>
      <c r="M70" s="46">
        <f>I70*J70</f>
        <v>0</v>
      </c>
      <c r="N70" s="46">
        <v>6E-05</v>
      </c>
      <c r="O70" s="6" t="s">
        <v>1149</v>
      </c>
      <c r="Z70" s="46">
        <f>IF(AQ70="5",BJ70,0)</f>
        <v>0</v>
      </c>
      <c r="AB70" s="46">
        <f>IF(AQ70="1",BH70,0)</f>
        <v>0</v>
      </c>
      <c r="AC70" s="46">
        <f>IF(AQ70="1",BI70,0)</f>
        <v>0</v>
      </c>
      <c r="AD70" s="46">
        <f>IF(AQ70="7",BH70,0)</f>
        <v>0</v>
      </c>
      <c r="AE70" s="46">
        <f>IF(AQ70="7",BI70,0)</f>
        <v>0</v>
      </c>
      <c r="AF70" s="46">
        <f>IF(AQ70="2",BH70,0)</f>
        <v>0</v>
      </c>
      <c r="AG70" s="46">
        <f>IF(AQ70="2",BI70,0)</f>
        <v>0</v>
      </c>
      <c r="AH70" s="46">
        <f>IF(AQ70="0",BJ70,0)</f>
        <v>0</v>
      </c>
      <c r="AI70" s="1" t="s">
        <v>1712</v>
      </c>
      <c r="AJ70" s="46">
        <f>IF(AN70=0,M70,0)</f>
        <v>0</v>
      </c>
      <c r="AK70" s="46">
        <f>IF(AN70=15,M70,0)</f>
        <v>0</v>
      </c>
      <c r="AL70" s="46">
        <f>IF(AN70=21,M70,0)</f>
        <v>0</v>
      </c>
      <c r="AN70" s="46">
        <v>21</v>
      </c>
      <c r="AO70" s="46">
        <f>J70*1</f>
        <v>0</v>
      </c>
      <c r="AP70" s="46">
        <f>J70*(1-1)</f>
        <v>0</v>
      </c>
      <c r="AQ70" s="42" t="s">
        <v>871</v>
      </c>
      <c r="AV70" s="46">
        <f>AW70+AX70</f>
        <v>0</v>
      </c>
      <c r="AW70" s="46">
        <f>I70*AO70</f>
        <v>0</v>
      </c>
      <c r="AX70" s="46">
        <f>I70*AP70</f>
        <v>0</v>
      </c>
      <c r="AY70" s="42" t="s">
        <v>337</v>
      </c>
      <c r="AZ70" s="42" t="s">
        <v>718</v>
      </c>
      <c r="BA70" s="1" t="s">
        <v>919</v>
      </c>
      <c r="BC70" s="46">
        <f>AW70+AX70</f>
        <v>0</v>
      </c>
      <c r="BD70" s="46">
        <f>J70/(100-BE70)*100</f>
        <v>0</v>
      </c>
      <c r="BE70" s="46">
        <v>0</v>
      </c>
      <c r="BF70" s="46">
        <f>70</f>
        <v>70</v>
      </c>
      <c r="BH70" s="46">
        <f>I70*AO70</f>
        <v>0</v>
      </c>
      <c r="BI70" s="46">
        <f>I70*AP70</f>
        <v>0</v>
      </c>
      <c r="BJ70" s="46">
        <f>I70*J70</f>
        <v>0</v>
      </c>
      <c r="BK70" s="46"/>
      <c r="BL70" s="46"/>
    </row>
    <row r="71" spans="1:64" ht="15" customHeight="1">
      <c r="A71" s="52" t="s">
        <v>389</v>
      </c>
      <c r="B71" s="43" t="s">
        <v>1712</v>
      </c>
      <c r="C71" s="43" t="s">
        <v>1559</v>
      </c>
      <c r="D71" s="61" t="s">
        <v>884</v>
      </c>
      <c r="E71" s="61"/>
      <c r="F71" s="61"/>
      <c r="G71" s="61"/>
      <c r="H71" s="43" t="s">
        <v>1365</v>
      </c>
      <c r="I71" s="46">
        <v>235</v>
      </c>
      <c r="J71" s="46">
        <v>0</v>
      </c>
      <c r="K71" s="46">
        <f>I71*AO71</f>
        <v>0</v>
      </c>
      <c r="L71" s="46">
        <f>I71*AP71</f>
        <v>0</v>
      </c>
      <c r="M71" s="46">
        <f>I71*J71</f>
        <v>0</v>
      </c>
      <c r="N71" s="46">
        <v>0.00071</v>
      </c>
      <c r="O71" s="6" t="s">
        <v>1149</v>
      </c>
      <c r="Z71" s="46">
        <f>IF(AQ71="5",BJ71,0)</f>
        <v>0</v>
      </c>
      <c r="AB71" s="46">
        <f>IF(AQ71="1",BH71,0)</f>
        <v>0</v>
      </c>
      <c r="AC71" s="46">
        <f>IF(AQ71="1",BI71,0)</f>
        <v>0</v>
      </c>
      <c r="AD71" s="46">
        <f>IF(AQ71="7",BH71,0)</f>
        <v>0</v>
      </c>
      <c r="AE71" s="46">
        <f>IF(AQ71="7",BI71,0)</f>
        <v>0</v>
      </c>
      <c r="AF71" s="46">
        <f>IF(AQ71="2",BH71,0)</f>
        <v>0</v>
      </c>
      <c r="AG71" s="46">
        <f>IF(AQ71="2",BI71,0)</f>
        <v>0</v>
      </c>
      <c r="AH71" s="46">
        <f>IF(AQ71="0",BJ71,0)</f>
        <v>0</v>
      </c>
      <c r="AI71" s="1" t="s">
        <v>1712</v>
      </c>
      <c r="AJ71" s="46">
        <f>IF(AN71=0,M71,0)</f>
        <v>0</v>
      </c>
      <c r="AK71" s="46">
        <f>IF(AN71=15,M71,0)</f>
        <v>0</v>
      </c>
      <c r="AL71" s="46">
        <f>IF(AN71=21,M71,0)</f>
        <v>0</v>
      </c>
      <c r="AN71" s="46">
        <v>21</v>
      </c>
      <c r="AO71" s="46">
        <f>J71*1</f>
        <v>0</v>
      </c>
      <c r="AP71" s="46">
        <f>J71*(1-1)</f>
        <v>0</v>
      </c>
      <c r="AQ71" s="42" t="s">
        <v>871</v>
      </c>
      <c r="AV71" s="46">
        <f>AW71+AX71</f>
        <v>0</v>
      </c>
      <c r="AW71" s="46">
        <f>I71*AO71</f>
        <v>0</v>
      </c>
      <c r="AX71" s="46">
        <f>I71*AP71</f>
        <v>0</v>
      </c>
      <c r="AY71" s="42" t="s">
        <v>337</v>
      </c>
      <c r="AZ71" s="42" t="s">
        <v>718</v>
      </c>
      <c r="BA71" s="1" t="s">
        <v>919</v>
      </c>
      <c r="BC71" s="46">
        <f>AW71+AX71</f>
        <v>0</v>
      </c>
      <c r="BD71" s="46">
        <f>J71/(100-BE71)*100</f>
        <v>0</v>
      </c>
      <c r="BE71" s="46">
        <v>0</v>
      </c>
      <c r="BF71" s="46">
        <f>71</f>
        <v>71</v>
      </c>
      <c r="BH71" s="46">
        <f>I71*AO71</f>
        <v>0</v>
      </c>
      <c r="BI71" s="46">
        <f>I71*AP71</f>
        <v>0</v>
      </c>
      <c r="BJ71" s="46">
        <f>I71*J71</f>
        <v>0</v>
      </c>
      <c r="BK71" s="46"/>
      <c r="BL71" s="46"/>
    </row>
    <row r="72" spans="1:15" ht="15" customHeight="1">
      <c r="A72" s="10"/>
      <c r="D72" s="32" t="s">
        <v>210</v>
      </c>
      <c r="G72" s="32" t="s">
        <v>1163</v>
      </c>
      <c r="I72" s="58">
        <v>235.00000000000003</v>
      </c>
      <c r="O72" s="30"/>
    </row>
    <row r="73" spans="1:35" ht="15" customHeight="1">
      <c r="A73" s="3" t="s">
        <v>1163</v>
      </c>
      <c r="B73" s="9" t="s">
        <v>1712</v>
      </c>
      <c r="C73" s="9" t="s">
        <v>1163</v>
      </c>
      <c r="D73" s="64" t="s">
        <v>989</v>
      </c>
      <c r="E73" s="64"/>
      <c r="F73" s="64"/>
      <c r="G73" s="64"/>
      <c r="H73" s="41" t="s">
        <v>1537</v>
      </c>
      <c r="I73" s="41" t="s">
        <v>1537</v>
      </c>
      <c r="J73" s="41" t="s">
        <v>1537</v>
      </c>
      <c r="K73" s="50">
        <f>K74+K77+K79+K85</f>
        <v>0</v>
      </c>
      <c r="L73" s="50">
        <f>L74+L77+L79+L85</f>
        <v>0</v>
      </c>
      <c r="M73" s="50">
        <f>M74+M77+M79+M85</f>
        <v>0</v>
      </c>
      <c r="N73" s="1" t="s">
        <v>1163</v>
      </c>
      <c r="O73" s="45" t="s">
        <v>1163</v>
      </c>
      <c r="AI73" s="1" t="s">
        <v>1712</v>
      </c>
    </row>
    <row r="74" spans="1:47" ht="15" customHeight="1">
      <c r="A74" s="3" t="s">
        <v>1163</v>
      </c>
      <c r="B74" s="9" t="s">
        <v>1712</v>
      </c>
      <c r="C74" s="9" t="s">
        <v>1235</v>
      </c>
      <c r="D74" s="64" t="s">
        <v>768</v>
      </c>
      <c r="E74" s="64"/>
      <c r="F74" s="64"/>
      <c r="G74" s="64"/>
      <c r="H74" s="41" t="s">
        <v>1537</v>
      </c>
      <c r="I74" s="41" t="s">
        <v>1537</v>
      </c>
      <c r="J74" s="41" t="s">
        <v>1537</v>
      </c>
      <c r="K74" s="50">
        <f>SUM(K75:K75)</f>
        <v>0</v>
      </c>
      <c r="L74" s="50">
        <f>SUM(L75:L75)</f>
        <v>0</v>
      </c>
      <c r="M74" s="50">
        <f>SUM(M75:M75)</f>
        <v>0</v>
      </c>
      <c r="N74" s="1" t="s">
        <v>1163</v>
      </c>
      <c r="O74" s="45" t="s">
        <v>1163</v>
      </c>
      <c r="AI74" s="1" t="s">
        <v>1712</v>
      </c>
      <c r="AS74" s="50">
        <f>SUM(AJ75:AJ75)</f>
        <v>0</v>
      </c>
      <c r="AT74" s="50">
        <f>SUM(AK75:AK75)</f>
        <v>0</v>
      </c>
      <c r="AU74" s="50">
        <f>SUM(AL75:AL75)</f>
        <v>0</v>
      </c>
    </row>
    <row r="75" spans="1:65" ht="15" customHeight="1">
      <c r="A75" s="52" t="s">
        <v>211</v>
      </c>
      <c r="B75" s="43" t="s">
        <v>1712</v>
      </c>
      <c r="C75" s="43" t="s">
        <v>774</v>
      </c>
      <c r="D75" s="61" t="s">
        <v>1280</v>
      </c>
      <c r="E75" s="61"/>
      <c r="F75" s="61"/>
      <c r="G75" s="61"/>
      <c r="H75" s="43" t="s">
        <v>1126</v>
      </c>
      <c r="I75" s="46">
        <v>1</v>
      </c>
      <c r="J75" s="46">
        <v>0</v>
      </c>
      <c r="K75" s="46">
        <f>I75*AO75</f>
        <v>0</v>
      </c>
      <c r="L75" s="46">
        <f>I75*AP75</f>
        <v>0</v>
      </c>
      <c r="M75" s="46">
        <f>I75*J75</f>
        <v>0</v>
      </c>
      <c r="N75" s="46">
        <v>0</v>
      </c>
      <c r="O75" s="6" t="s">
        <v>1149</v>
      </c>
      <c r="Z75" s="46">
        <f>IF(AQ75="5",BJ75,0)</f>
        <v>0</v>
      </c>
      <c r="AB75" s="46">
        <f>IF(AQ75="1",BH75,0)</f>
        <v>0</v>
      </c>
      <c r="AC75" s="46">
        <f>IF(AQ75="1",BI75,0)</f>
        <v>0</v>
      </c>
      <c r="AD75" s="46">
        <f>IF(AQ75="7",BH75,0)</f>
        <v>0</v>
      </c>
      <c r="AE75" s="46">
        <f>IF(AQ75="7",BI75,0)</f>
        <v>0</v>
      </c>
      <c r="AF75" s="46">
        <f>IF(AQ75="2",BH75,0)</f>
        <v>0</v>
      </c>
      <c r="AG75" s="46">
        <f>IF(AQ75="2",BI75,0)</f>
        <v>0</v>
      </c>
      <c r="AH75" s="46">
        <f>IF(AQ75="0",BJ75,0)</f>
        <v>0</v>
      </c>
      <c r="AI75" s="1" t="s">
        <v>1712</v>
      </c>
      <c r="AJ75" s="46">
        <f>IF(AN75=0,M75,0)</f>
        <v>0</v>
      </c>
      <c r="AK75" s="46">
        <f>IF(AN75=15,M75,0)</f>
        <v>0</v>
      </c>
      <c r="AL75" s="46">
        <f>IF(AN75=21,M75,0)</f>
        <v>0</v>
      </c>
      <c r="AN75" s="46">
        <v>21</v>
      </c>
      <c r="AO75" s="46">
        <f>J75*0</f>
        <v>0</v>
      </c>
      <c r="AP75" s="46">
        <f>J75*(1-0)</f>
        <v>0</v>
      </c>
      <c r="AQ75" s="42" t="s">
        <v>765</v>
      </c>
      <c r="AV75" s="46">
        <f>AW75+AX75</f>
        <v>0</v>
      </c>
      <c r="AW75" s="46">
        <f>I75*AO75</f>
        <v>0</v>
      </c>
      <c r="AX75" s="46">
        <f>I75*AP75</f>
        <v>0</v>
      </c>
      <c r="AY75" s="42" t="s">
        <v>784</v>
      </c>
      <c r="AZ75" s="42" t="s">
        <v>256</v>
      </c>
      <c r="BA75" s="1" t="s">
        <v>919</v>
      </c>
      <c r="BC75" s="46">
        <f>AW75+AX75</f>
        <v>0</v>
      </c>
      <c r="BD75" s="46">
        <f>J75/(100-BE75)*100</f>
        <v>0</v>
      </c>
      <c r="BE75" s="46">
        <v>0</v>
      </c>
      <c r="BF75" s="46">
        <f>75</f>
        <v>75</v>
      </c>
      <c r="BH75" s="46">
        <f>I75*AO75</f>
        <v>0</v>
      </c>
      <c r="BI75" s="46">
        <f>I75*AP75</f>
        <v>0</v>
      </c>
      <c r="BJ75" s="46">
        <f>I75*J75</f>
        <v>0</v>
      </c>
      <c r="BK75" s="46"/>
      <c r="BL75" s="46"/>
      <c r="BM75" s="46">
        <f>I75*J75</f>
        <v>0</v>
      </c>
    </row>
    <row r="76" spans="1:15" ht="15" customHeight="1">
      <c r="A76" s="10"/>
      <c r="D76" s="32" t="s">
        <v>1648</v>
      </c>
      <c r="G76" s="32" t="s">
        <v>1163</v>
      </c>
      <c r="I76" s="58">
        <v>1</v>
      </c>
      <c r="O76" s="30"/>
    </row>
    <row r="77" spans="1:47" ht="15" customHeight="1">
      <c r="A77" s="3" t="s">
        <v>1163</v>
      </c>
      <c r="B77" s="9" t="s">
        <v>1712</v>
      </c>
      <c r="C77" s="9" t="s">
        <v>80</v>
      </c>
      <c r="D77" s="64" t="s">
        <v>168</v>
      </c>
      <c r="E77" s="64"/>
      <c r="F77" s="64"/>
      <c r="G77" s="64"/>
      <c r="H77" s="41" t="s">
        <v>1537</v>
      </c>
      <c r="I77" s="41" t="s">
        <v>1537</v>
      </c>
      <c r="J77" s="41" t="s">
        <v>1537</v>
      </c>
      <c r="K77" s="50">
        <f>SUM(K78:K78)</f>
        <v>0</v>
      </c>
      <c r="L77" s="50">
        <f>SUM(L78:L78)</f>
        <v>0</v>
      </c>
      <c r="M77" s="50">
        <f>SUM(M78:M78)</f>
        <v>0</v>
      </c>
      <c r="N77" s="1" t="s">
        <v>1163</v>
      </c>
      <c r="O77" s="45" t="s">
        <v>1163</v>
      </c>
      <c r="AI77" s="1" t="s">
        <v>1712</v>
      </c>
      <c r="AS77" s="50">
        <f>SUM(AJ78:AJ78)</f>
        <v>0</v>
      </c>
      <c r="AT77" s="50">
        <f>SUM(AK78:AK78)</f>
        <v>0</v>
      </c>
      <c r="AU77" s="50">
        <f>SUM(AL78:AL78)</f>
        <v>0</v>
      </c>
    </row>
    <row r="78" spans="1:67" ht="15" customHeight="1">
      <c r="A78" s="52" t="s">
        <v>1621</v>
      </c>
      <c r="B78" s="43" t="s">
        <v>1712</v>
      </c>
      <c r="C78" s="43" t="s">
        <v>1111</v>
      </c>
      <c r="D78" s="61" t="s">
        <v>168</v>
      </c>
      <c r="E78" s="61"/>
      <c r="F78" s="61"/>
      <c r="G78" s="61"/>
      <c r="H78" s="43" t="s">
        <v>1126</v>
      </c>
      <c r="I78" s="46">
        <v>1</v>
      </c>
      <c r="J78" s="46">
        <v>0</v>
      </c>
      <c r="K78" s="46">
        <f>I78*AO78</f>
        <v>0</v>
      </c>
      <c r="L78" s="46">
        <f>I78*AP78</f>
        <v>0</v>
      </c>
      <c r="M78" s="46">
        <f>I78*J78</f>
        <v>0</v>
      </c>
      <c r="N78" s="46">
        <v>0</v>
      </c>
      <c r="O78" s="6" t="s">
        <v>1149</v>
      </c>
      <c r="Z78" s="46">
        <f>IF(AQ78="5",BJ78,0)</f>
        <v>0</v>
      </c>
      <c r="AB78" s="46">
        <f>IF(AQ78="1",BH78,0)</f>
        <v>0</v>
      </c>
      <c r="AC78" s="46">
        <f>IF(AQ78="1",BI78,0)</f>
        <v>0</v>
      </c>
      <c r="AD78" s="46">
        <f>IF(AQ78="7",BH78,0)</f>
        <v>0</v>
      </c>
      <c r="AE78" s="46">
        <f>IF(AQ78="7",BI78,0)</f>
        <v>0</v>
      </c>
      <c r="AF78" s="46">
        <f>IF(AQ78="2",BH78,0)</f>
        <v>0</v>
      </c>
      <c r="AG78" s="46">
        <f>IF(AQ78="2",BI78,0)</f>
        <v>0</v>
      </c>
      <c r="AH78" s="46">
        <f>IF(AQ78="0",BJ78,0)</f>
        <v>0</v>
      </c>
      <c r="AI78" s="1" t="s">
        <v>1712</v>
      </c>
      <c r="AJ78" s="46">
        <f>IF(AN78=0,M78,0)</f>
        <v>0</v>
      </c>
      <c r="AK78" s="46">
        <f>IF(AN78=15,M78,0)</f>
        <v>0</v>
      </c>
      <c r="AL78" s="46">
        <f>IF(AN78=21,M78,0)</f>
        <v>0</v>
      </c>
      <c r="AN78" s="46">
        <v>21</v>
      </c>
      <c r="AO78" s="46">
        <f>J78*0</f>
        <v>0</v>
      </c>
      <c r="AP78" s="46">
        <f>J78*(1-0)</f>
        <v>0</v>
      </c>
      <c r="AQ78" s="42" t="s">
        <v>765</v>
      </c>
      <c r="AV78" s="46">
        <f>AW78+AX78</f>
        <v>0</v>
      </c>
      <c r="AW78" s="46">
        <f>I78*AO78</f>
        <v>0</v>
      </c>
      <c r="AX78" s="46">
        <f>I78*AP78</f>
        <v>0</v>
      </c>
      <c r="AY78" s="42" t="s">
        <v>365</v>
      </c>
      <c r="AZ78" s="42" t="s">
        <v>256</v>
      </c>
      <c r="BA78" s="1" t="s">
        <v>919</v>
      </c>
      <c r="BC78" s="46">
        <f>AW78+AX78</f>
        <v>0</v>
      </c>
      <c r="BD78" s="46">
        <f>J78/(100-BE78)*100</f>
        <v>0</v>
      </c>
      <c r="BE78" s="46">
        <v>0</v>
      </c>
      <c r="BF78" s="46">
        <f>78</f>
        <v>78</v>
      </c>
      <c r="BH78" s="46">
        <f>I78*AO78</f>
        <v>0</v>
      </c>
      <c r="BI78" s="46">
        <f>I78*AP78</f>
        <v>0</v>
      </c>
      <c r="BJ78" s="46">
        <f>I78*J78</f>
        <v>0</v>
      </c>
      <c r="BK78" s="46"/>
      <c r="BL78" s="46"/>
      <c r="BO78" s="46">
        <f>I78*J78</f>
        <v>0</v>
      </c>
    </row>
    <row r="79" spans="1:47" ht="15" customHeight="1">
      <c r="A79" s="3" t="s">
        <v>1163</v>
      </c>
      <c r="B79" s="9" t="s">
        <v>1712</v>
      </c>
      <c r="C79" s="9" t="s">
        <v>536</v>
      </c>
      <c r="D79" s="64" t="s">
        <v>1370</v>
      </c>
      <c r="E79" s="64"/>
      <c r="F79" s="64"/>
      <c r="G79" s="64"/>
      <c r="H79" s="41" t="s">
        <v>1537</v>
      </c>
      <c r="I79" s="41" t="s">
        <v>1537</v>
      </c>
      <c r="J79" s="41" t="s">
        <v>1537</v>
      </c>
      <c r="K79" s="50">
        <f>SUM(K80:K83)</f>
        <v>0</v>
      </c>
      <c r="L79" s="50">
        <f>SUM(L80:L83)</f>
        <v>0</v>
      </c>
      <c r="M79" s="50">
        <f>SUM(M80:M83)</f>
        <v>0</v>
      </c>
      <c r="N79" s="1" t="s">
        <v>1163</v>
      </c>
      <c r="O79" s="45" t="s">
        <v>1163</v>
      </c>
      <c r="AI79" s="1" t="s">
        <v>1712</v>
      </c>
      <c r="AS79" s="50">
        <f>SUM(AJ80:AJ83)</f>
        <v>0</v>
      </c>
      <c r="AT79" s="50">
        <f>SUM(AK80:AK83)</f>
        <v>0</v>
      </c>
      <c r="AU79" s="50">
        <f>SUM(AL80:AL83)</f>
        <v>0</v>
      </c>
    </row>
    <row r="80" spans="1:68" ht="15" customHeight="1">
      <c r="A80" s="52" t="s">
        <v>1801</v>
      </c>
      <c r="B80" s="43" t="s">
        <v>1712</v>
      </c>
      <c r="C80" s="43" t="s">
        <v>433</v>
      </c>
      <c r="D80" s="61" t="s">
        <v>1057</v>
      </c>
      <c r="E80" s="61"/>
      <c r="F80" s="61"/>
      <c r="G80" s="61"/>
      <c r="H80" s="43" t="s">
        <v>1126</v>
      </c>
      <c r="I80" s="46">
        <v>1</v>
      </c>
      <c r="J80" s="46">
        <v>0</v>
      </c>
      <c r="K80" s="46">
        <f>I80*AO80</f>
        <v>0</v>
      </c>
      <c r="L80" s="46">
        <f>I80*AP80</f>
        <v>0</v>
      </c>
      <c r="M80" s="46">
        <f>I80*J80</f>
        <v>0</v>
      </c>
      <c r="N80" s="46">
        <v>0</v>
      </c>
      <c r="O80" s="6" t="s">
        <v>1149</v>
      </c>
      <c r="Z80" s="46">
        <f>IF(AQ80="5",BJ80,0)</f>
        <v>0</v>
      </c>
      <c r="AB80" s="46">
        <f>IF(AQ80="1",BH80,0)</f>
        <v>0</v>
      </c>
      <c r="AC80" s="46">
        <f>IF(AQ80="1",BI80,0)</f>
        <v>0</v>
      </c>
      <c r="AD80" s="46">
        <f>IF(AQ80="7",BH80,0)</f>
        <v>0</v>
      </c>
      <c r="AE80" s="46">
        <f>IF(AQ80="7",BI80,0)</f>
        <v>0</v>
      </c>
      <c r="AF80" s="46">
        <f>IF(AQ80="2",BH80,0)</f>
        <v>0</v>
      </c>
      <c r="AG80" s="46">
        <f>IF(AQ80="2",BI80,0)</f>
        <v>0</v>
      </c>
      <c r="AH80" s="46">
        <f>IF(AQ80="0",BJ80,0)</f>
        <v>0</v>
      </c>
      <c r="AI80" s="1" t="s">
        <v>1712</v>
      </c>
      <c r="AJ80" s="46">
        <f>IF(AN80=0,M80,0)</f>
        <v>0</v>
      </c>
      <c r="AK80" s="46">
        <f>IF(AN80=15,M80,0)</f>
        <v>0</v>
      </c>
      <c r="AL80" s="46">
        <f>IF(AN80=21,M80,0)</f>
        <v>0</v>
      </c>
      <c r="AN80" s="46">
        <v>21</v>
      </c>
      <c r="AO80" s="46">
        <f>J80*0</f>
        <v>0</v>
      </c>
      <c r="AP80" s="46">
        <f>J80*(1-0)</f>
        <v>0</v>
      </c>
      <c r="AQ80" s="42" t="s">
        <v>765</v>
      </c>
      <c r="AV80" s="46">
        <f>AW80+AX80</f>
        <v>0</v>
      </c>
      <c r="AW80" s="46">
        <f>I80*AO80</f>
        <v>0</v>
      </c>
      <c r="AX80" s="46">
        <f>I80*AP80</f>
        <v>0</v>
      </c>
      <c r="AY80" s="42" t="s">
        <v>1377</v>
      </c>
      <c r="AZ80" s="42" t="s">
        <v>256</v>
      </c>
      <c r="BA80" s="1" t="s">
        <v>919</v>
      </c>
      <c r="BC80" s="46">
        <f>AW80+AX80</f>
        <v>0</v>
      </c>
      <c r="BD80" s="46">
        <f>J80/(100-BE80)*100</f>
        <v>0</v>
      </c>
      <c r="BE80" s="46">
        <v>0</v>
      </c>
      <c r="BF80" s="46">
        <f>80</f>
        <v>80</v>
      </c>
      <c r="BH80" s="46">
        <f>I80*AO80</f>
        <v>0</v>
      </c>
      <c r="BI80" s="46">
        <f>I80*AP80</f>
        <v>0</v>
      </c>
      <c r="BJ80" s="46">
        <f>I80*J80</f>
        <v>0</v>
      </c>
      <c r="BK80" s="46"/>
      <c r="BL80" s="46"/>
      <c r="BP80" s="46">
        <f>I80*J80</f>
        <v>0</v>
      </c>
    </row>
    <row r="81" spans="1:15" ht="15" customHeight="1">
      <c r="A81" s="10"/>
      <c r="D81" s="32" t="s">
        <v>1648</v>
      </c>
      <c r="G81" s="32" t="s">
        <v>1163</v>
      </c>
      <c r="I81" s="58">
        <v>1</v>
      </c>
      <c r="O81" s="30"/>
    </row>
    <row r="82" spans="1:68" ht="15" customHeight="1">
      <c r="A82" s="52" t="s">
        <v>123</v>
      </c>
      <c r="B82" s="43" t="s">
        <v>1712</v>
      </c>
      <c r="C82" s="43" t="s">
        <v>1068</v>
      </c>
      <c r="D82" s="61" t="s">
        <v>1370</v>
      </c>
      <c r="E82" s="61"/>
      <c r="F82" s="61"/>
      <c r="G82" s="61"/>
      <c r="H82" s="43" t="s">
        <v>1126</v>
      </c>
      <c r="I82" s="46">
        <v>1</v>
      </c>
      <c r="J82" s="46">
        <v>0</v>
      </c>
      <c r="K82" s="46">
        <f>I82*AO82</f>
        <v>0</v>
      </c>
      <c r="L82" s="46">
        <f>I82*AP82</f>
        <v>0</v>
      </c>
      <c r="M82" s="46">
        <f>I82*J82</f>
        <v>0</v>
      </c>
      <c r="N82" s="46">
        <v>0</v>
      </c>
      <c r="O82" s="6" t="s">
        <v>1149</v>
      </c>
      <c r="Z82" s="46">
        <f>IF(AQ82="5",BJ82,0)</f>
        <v>0</v>
      </c>
      <c r="AB82" s="46">
        <f>IF(AQ82="1",BH82,0)</f>
        <v>0</v>
      </c>
      <c r="AC82" s="46">
        <f>IF(AQ82="1",BI82,0)</f>
        <v>0</v>
      </c>
      <c r="AD82" s="46">
        <f>IF(AQ82="7",BH82,0)</f>
        <v>0</v>
      </c>
      <c r="AE82" s="46">
        <f>IF(AQ82="7",BI82,0)</f>
        <v>0</v>
      </c>
      <c r="AF82" s="46">
        <f>IF(AQ82="2",BH82,0)</f>
        <v>0</v>
      </c>
      <c r="AG82" s="46">
        <f>IF(AQ82="2",BI82,0)</f>
        <v>0</v>
      </c>
      <c r="AH82" s="46">
        <f>IF(AQ82="0",BJ82,0)</f>
        <v>0</v>
      </c>
      <c r="AI82" s="1" t="s">
        <v>1712</v>
      </c>
      <c r="AJ82" s="46">
        <f>IF(AN82=0,M82,0)</f>
        <v>0</v>
      </c>
      <c r="AK82" s="46">
        <f>IF(AN82=15,M82,0)</f>
        <v>0</v>
      </c>
      <c r="AL82" s="46">
        <f>IF(AN82=21,M82,0)</f>
        <v>0</v>
      </c>
      <c r="AN82" s="46">
        <v>21</v>
      </c>
      <c r="AO82" s="46">
        <f>J82*0</f>
        <v>0</v>
      </c>
      <c r="AP82" s="46">
        <f>J82*(1-0)</f>
        <v>0</v>
      </c>
      <c r="AQ82" s="42" t="s">
        <v>765</v>
      </c>
      <c r="AV82" s="46">
        <f>AW82+AX82</f>
        <v>0</v>
      </c>
      <c r="AW82" s="46">
        <f>I82*AO82</f>
        <v>0</v>
      </c>
      <c r="AX82" s="46">
        <f>I82*AP82</f>
        <v>0</v>
      </c>
      <c r="AY82" s="42" t="s">
        <v>1377</v>
      </c>
      <c r="AZ82" s="42" t="s">
        <v>256</v>
      </c>
      <c r="BA82" s="1" t="s">
        <v>919</v>
      </c>
      <c r="BC82" s="46">
        <f>AW82+AX82</f>
        <v>0</v>
      </c>
      <c r="BD82" s="46">
        <f>J82/(100-BE82)*100</f>
        <v>0</v>
      </c>
      <c r="BE82" s="46">
        <v>0</v>
      </c>
      <c r="BF82" s="46">
        <f>82</f>
        <v>82</v>
      </c>
      <c r="BH82" s="46">
        <f>I82*AO82</f>
        <v>0</v>
      </c>
      <c r="BI82" s="46">
        <f>I82*AP82</f>
        <v>0</v>
      </c>
      <c r="BJ82" s="46">
        <f>I82*J82</f>
        <v>0</v>
      </c>
      <c r="BK82" s="46"/>
      <c r="BL82" s="46"/>
      <c r="BP82" s="46">
        <f>I82*J82</f>
        <v>0</v>
      </c>
    </row>
    <row r="83" spans="1:68" ht="15" customHeight="1">
      <c r="A83" s="52" t="s">
        <v>1085</v>
      </c>
      <c r="B83" s="43" t="s">
        <v>1712</v>
      </c>
      <c r="C83" s="43" t="s">
        <v>1132</v>
      </c>
      <c r="D83" s="61" t="s">
        <v>299</v>
      </c>
      <c r="E83" s="61"/>
      <c r="F83" s="61"/>
      <c r="G83" s="61"/>
      <c r="H83" s="43" t="s">
        <v>1126</v>
      </c>
      <c r="I83" s="46">
        <v>3</v>
      </c>
      <c r="J83" s="46">
        <v>0</v>
      </c>
      <c r="K83" s="46">
        <f>I83*AO83</f>
        <v>0</v>
      </c>
      <c r="L83" s="46">
        <f>I83*AP83</f>
        <v>0</v>
      </c>
      <c r="M83" s="46">
        <f>I83*J83</f>
        <v>0</v>
      </c>
      <c r="N83" s="46">
        <v>0</v>
      </c>
      <c r="O83" s="6" t="s">
        <v>1149</v>
      </c>
      <c r="Z83" s="46">
        <f>IF(AQ83="5",BJ83,0)</f>
        <v>0</v>
      </c>
      <c r="AB83" s="46">
        <f>IF(AQ83="1",BH83,0)</f>
        <v>0</v>
      </c>
      <c r="AC83" s="46">
        <f>IF(AQ83="1",BI83,0)</f>
        <v>0</v>
      </c>
      <c r="AD83" s="46">
        <f>IF(AQ83="7",BH83,0)</f>
        <v>0</v>
      </c>
      <c r="AE83" s="46">
        <f>IF(AQ83="7",BI83,0)</f>
        <v>0</v>
      </c>
      <c r="AF83" s="46">
        <f>IF(AQ83="2",BH83,0)</f>
        <v>0</v>
      </c>
      <c r="AG83" s="46">
        <f>IF(AQ83="2",BI83,0)</f>
        <v>0</v>
      </c>
      <c r="AH83" s="46">
        <f>IF(AQ83="0",BJ83,0)</f>
        <v>0</v>
      </c>
      <c r="AI83" s="1" t="s">
        <v>1712</v>
      </c>
      <c r="AJ83" s="46">
        <f>IF(AN83=0,M83,0)</f>
        <v>0</v>
      </c>
      <c r="AK83" s="46">
        <f>IF(AN83=15,M83,0)</f>
        <v>0</v>
      </c>
      <c r="AL83" s="46">
        <f>IF(AN83=21,M83,0)</f>
        <v>0</v>
      </c>
      <c r="AN83" s="46">
        <v>21</v>
      </c>
      <c r="AO83" s="46">
        <f>J83*0</f>
        <v>0</v>
      </c>
      <c r="AP83" s="46">
        <f>J83*(1-0)</f>
        <v>0</v>
      </c>
      <c r="AQ83" s="42" t="s">
        <v>765</v>
      </c>
      <c r="AV83" s="46">
        <f>AW83+AX83</f>
        <v>0</v>
      </c>
      <c r="AW83" s="46">
        <f>I83*AO83</f>
        <v>0</v>
      </c>
      <c r="AX83" s="46">
        <f>I83*AP83</f>
        <v>0</v>
      </c>
      <c r="AY83" s="42" t="s">
        <v>1377</v>
      </c>
      <c r="AZ83" s="42" t="s">
        <v>256</v>
      </c>
      <c r="BA83" s="1" t="s">
        <v>919</v>
      </c>
      <c r="BC83" s="46">
        <f>AW83+AX83</f>
        <v>0</v>
      </c>
      <c r="BD83" s="46">
        <f>J83/(100-BE83)*100</f>
        <v>0</v>
      </c>
      <c r="BE83" s="46">
        <v>0</v>
      </c>
      <c r="BF83" s="46">
        <f>83</f>
        <v>83</v>
      </c>
      <c r="BH83" s="46">
        <f>I83*AO83</f>
        <v>0</v>
      </c>
      <c r="BI83" s="46">
        <f>I83*AP83</f>
        <v>0</v>
      </c>
      <c r="BJ83" s="46">
        <f>I83*J83</f>
        <v>0</v>
      </c>
      <c r="BK83" s="46"/>
      <c r="BL83" s="46"/>
      <c r="BP83" s="46">
        <f>I83*J83</f>
        <v>0</v>
      </c>
    </row>
    <row r="84" spans="1:15" ht="13.5" customHeight="1">
      <c r="A84" s="10"/>
      <c r="C84" s="36" t="s">
        <v>144</v>
      </c>
      <c r="D84" s="65" t="s">
        <v>232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7"/>
    </row>
    <row r="85" spans="1:47" ht="15" customHeight="1">
      <c r="A85" s="3" t="s">
        <v>1163</v>
      </c>
      <c r="B85" s="9" t="s">
        <v>1712</v>
      </c>
      <c r="C85" s="9" t="s">
        <v>1230</v>
      </c>
      <c r="D85" s="64" t="s">
        <v>877</v>
      </c>
      <c r="E85" s="64"/>
      <c r="F85" s="64"/>
      <c r="G85" s="64"/>
      <c r="H85" s="41" t="s">
        <v>1537</v>
      </c>
      <c r="I85" s="41" t="s">
        <v>1537</v>
      </c>
      <c r="J85" s="41" t="s">
        <v>1537</v>
      </c>
      <c r="K85" s="50">
        <f>SUM(K86:K86)</f>
        <v>0</v>
      </c>
      <c r="L85" s="50">
        <f>SUM(L86:L86)</f>
        <v>0</v>
      </c>
      <c r="M85" s="50">
        <f>SUM(M86:M86)</f>
        <v>0</v>
      </c>
      <c r="N85" s="1" t="s">
        <v>1163</v>
      </c>
      <c r="O85" s="45" t="s">
        <v>1163</v>
      </c>
      <c r="AI85" s="1" t="s">
        <v>1712</v>
      </c>
      <c r="AS85" s="50">
        <f>SUM(AJ86:AJ86)</f>
        <v>0</v>
      </c>
      <c r="AT85" s="50">
        <f>SUM(AK86:AK86)</f>
        <v>0</v>
      </c>
      <c r="AU85" s="50">
        <f>SUM(AL86:AL86)</f>
        <v>0</v>
      </c>
    </row>
    <row r="86" spans="1:71" ht="15" customHeight="1">
      <c r="A86" s="52" t="s">
        <v>990</v>
      </c>
      <c r="B86" s="43" t="s">
        <v>1712</v>
      </c>
      <c r="C86" s="43" t="s">
        <v>1589</v>
      </c>
      <c r="D86" s="61" t="s">
        <v>955</v>
      </c>
      <c r="E86" s="61"/>
      <c r="F86" s="61"/>
      <c r="G86" s="61"/>
      <c r="H86" s="43" t="s">
        <v>1126</v>
      </c>
      <c r="I86" s="46">
        <v>1</v>
      </c>
      <c r="J86" s="46">
        <v>0</v>
      </c>
      <c r="K86" s="46">
        <f>I86*AO86</f>
        <v>0</v>
      </c>
      <c r="L86" s="46">
        <f>I86*AP86</f>
        <v>0</v>
      </c>
      <c r="M86" s="46">
        <f>I86*J86</f>
        <v>0</v>
      </c>
      <c r="N86" s="46">
        <v>0</v>
      </c>
      <c r="O86" s="6" t="s">
        <v>1149</v>
      </c>
      <c r="Z86" s="46">
        <f>IF(AQ86="5",BJ86,0)</f>
        <v>0</v>
      </c>
      <c r="AB86" s="46">
        <f>IF(AQ86="1",BH86,0)</f>
        <v>0</v>
      </c>
      <c r="AC86" s="46">
        <f>IF(AQ86="1",BI86,0)</f>
        <v>0</v>
      </c>
      <c r="AD86" s="46">
        <f>IF(AQ86="7",BH86,0)</f>
        <v>0</v>
      </c>
      <c r="AE86" s="46">
        <f>IF(AQ86="7",BI86,0)</f>
        <v>0</v>
      </c>
      <c r="AF86" s="46">
        <f>IF(AQ86="2",BH86,0)</f>
        <v>0</v>
      </c>
      <c r="AG86" s="46">
        <f>IF(AQ86="2",BI86,0)</f>
        <v>0</v>
      </c>
      <c r="AH86" s="46">
        <f>IF(AQ86="0",BJ86,0)</f>
        <v>0</v>
      </c>
      <c r="AI86" s="1" t="s">
        <v>1712</v>
      </c>
      <c r="AJ86" s="46">
        <f>IF(AN86=0,M86,0)</f>
        <v>0</v>
      </c>
      <c r="AK86" s="46">
        <f>IF(AN86=15,M86,0)</f>
        <v>0</v>
      </c>
      <c r="AL86" s="46">
        <f>IF(AN86=21,M86,0)</f>
        <v>0</v>
      </c>
      <c r="AN86" s="46">
        <v>21</v>
      </c>
      <c r="AO86" s="46">
        <f>J86*0</f>
        <v>0</v>
      </c>
      <c r="AP86" s="46">
        <f>J86*(1-0)</f>
        <v>0</v>
      </c>
      <c r="AQ86" s="42" t="s">
        <v>765</v>
      </c>
      <c r="AV86" s="46">
        <f>AW86+AX86</f>
        <v>0</v>
      </c>
      <c r="AW86" s="46">
        <f>I86*AO86</f>
        <v>0</v>
      </c>
      <c r="AX86" s="46">
        <f>I86*AP86</f>
        <v>0</v>
      </c>
      <c r="AY86" s="42" t="s">
        <v>1617</v>
      </c>
      <c r="AZ86" s="42" t="s">
        <v>256</v>
      </c>
      <c r="BA86" s="1" t="s">
        <v>919</v>
      </c>
      <c r="BC86" s="46">
        <f>AW86+AX86</f>
        <v>0</v>
      </c>
      <c r="BD86" s="46">
        <f>J86/(100-BE86)*100</f>
        <v>0</v>
      </c>
      <c r="BE86" s="46">
        <v>0</v>
      </c>
      <c r="BF86" s="46">
        <f>86</f>
        <v>86</v>
      </c>
      <c r="BH86" s="46">
        <f>I86*AO86</f>
        <v>0</v>
      </c>
      <c r="BI86" s="46">
        <f>I86*AP86</f>
        <v>0</v>
      </c>
      <c r="BJ86" s="46">
        <f>I86*J86</f>
        <v>0</v>
      </c>
      <c r="BK86" s="46"/>
      <c r="BL86" s="46"/>
      <c r="BS86" s="46">
        <f>I86*J86</f>
        <v>0</v>
      </c>
    </row>
    <row r="87" spans="1:15" ht="15" customHeight="1">
      <c r="A87" s="10"/>
      <c r="D87" s="32" t="s">
        <v>1648</v>
      </c>
      <c r="G87" s="32" t="s">
        <v>1163</v>
      </c>
      <c r="I87" s="58">
        <v>1</v>
      </c>
      <c r="O87" s="30"/>
    </row>
    <row r="88" spans="1:15" ht="15" customHeight="1">
      <c r="A88" s="3" t="s">
        <v>1163</v>
      </c>
      <c r="B88" s="9" t="s">
        <v>1864</v>
      </c>
      <c r="C88" s="9" t="s">
        <v>1163</v>
      </c>
      <c r="D88" s="64" t="s">
        <v>1518</v>
      </c>
      <c r="E88" s="64"/>
      <c r="F88" s="64"/>
      <c r="G88" s="64"/>
      <c r="H88" s="41" t="s">
        <v>1537</v>
      </c>
      <c r="I88" s="41" t="s">
        <v>1537</v>
      </c>
      <c r="J88" s="41" t="s">
        <v>1537</v>
      </c>
      <c r="K88" s="50">
        <f>K89+K92+K95+K101+K104+K111+K118</f>
        <v>0</v>
      </c>
      <c r="L88" s="50">
        <f>L89+L92+L95+L101+L104+L111+L118</f>
        <v>0</v>
      </c>
      <c r="M88" s="50">
        <f>M89+M92+M95+M101+M104+M111+M118</f>
        <v>0</v>
      </c>
      <c r="N88" s="1" t="s">
        <v>1163</v>
      </c>
      <c r="O88" s="45" t="s">
        <v>1163</v>
      </c>
    </row>
    <row r="89" spans="1:47" ht="15" customHeight="1">
      <c r="A89" s="3" t="s">
        <v>1163</v>
      </c>
      <c r="B89" s="9" t="s">
        <v>1864</v>
      </c>
      <c r="C89" s="9" t="s">
        <v>1385</v>
      </c>
      <c r="D89" s="64" t="s">
        <v>909</v>
      </c>
      <c r="E89" s="64"/>
      <c r="F89" s="64"/>
      <c r="G89" s="64"/>
      <c r="H89" s="41" t="s">
        <v>1537</v>
      </c>
      <c r="I89" s="41" t="s">
        <v>1537</v>
      </c>
      <c r="J89" s="41" t="s">
        <v>1537</v>
      </c>
      <c r="K89" s="50">
        <f>SUM(K90:K90)</f>
        <v>0</v>
      </c>
      <c r="L89" s="50">
        <f>SUM(L90:L90)</f>
        <v>0</v>
      </c>
      <c r="M89" s="50">
        <f>SUM(M90:M90)</f>
        <v>0</v>
      </c>
      <c r="N89" s="1" t="s">
        <v>1163</v>
      </c>
      <c r="O89" s="45" t="s">
        <v>1163</v>
      </c>
      <c r="AI89" s="1" t="s">
        <v>1864</v>
      </c>
      <c r="AS89" s="50">
        <f>SUM(AJ90:AJ90)</f>
        <v>0</v>
      </c>
      <c r="AT89" s="50">
        <f>SUM(AK90:AK90)</f>
        <v>0</v>
      </c>
      <c r="AU89" s="50">
        <f>SUM(AL90:AL90)</f>
        <v>0</v>
      </c>
    </row>
    <row r="90" spans="1:64" ht="15" customHeight="1">
      <c r="A90" s="52" t="s">
        <v>1392</v>
      </c>
      <c r="B90" s="43" t="s">
        <v>1864</v>
      </c>
      <c r="C90" s="43" t="s">
        <v>683</v>
      </c>
      <c r="D90" s="61" t="s">
        <v>1096</v>
      </c>
      <c r="E90" s="61"/>
      <c r="F90" s="61"/>
      <c r="G90" s="61"/>
      <c r="H90" s="43" t="s">
        <v>1629</v>
      </c>
      <c r="I90" s="46">
        <v>2985</v>
      </c>
      <c r="J90" s="46">
        <v>0</v>
      </c>
      <c r="K90" s="46">
        <f>I90*AO90</f>
        <v>0</v>
      </c>
      <c r="L90" s="46">
        <f>I90*AP90</f>
        <v>0</v>
      </c>
      <c r="M90" s="46">
        <f>I90*J90</f>
        <v>0</v>
      </c>
      <c r="N90" s="46">
        <v>0</v>
      </c>
      <c r="O90" s="6" t="s">
        <v>1149</v>
      </c>
      <c r="Z90" s="46">
        <f>IF(AQ90="5",BJ90,0)</f>
        <v>0</v>
      </c>
      <c r="AB90" s="46">
        <f>IF(AQ90="1",BH90,0)</f>
        <v>0</v>
      </c>
      <c r="AC90" s="46">
        <f>IF(AQ90="1",BI90,0)</f>
        <v>0</v>
      </c>
      <c r="AD90" s="46">
        <f>IF(AQ90="7",BH90,0)</f>
        <v>0</v>
      </c>
      <c r="AE90" s="46">
        <f>IF(AQ90="7",BI90,0)</f>
        <v>0</v>
      </c>
      <c r="AF90" s="46">
        <f>IF(AQ90="2",BH90,0)</f>
        <v>0</v>
      </c>
      <c r="AG90" s="46">
        <f>IF(AQ90="2",BI90,0)</f>
        <v>0</v>
      </c>
      <c r="AH90" s="46">
        <f>IF(AQ90="0",BJ90,0)</f>
        <v>0</v>
      </c>
      <c r="AI90" s="1" t="s">
        <v>1864</v>
      </c>
      <c r="AJ90" s="46">
        <f>IF(AN90=0,M90,0)</f>
        <v>0</v>
      </c>
      <c r="AK90" s="46">
        <f>IF(AN90=15,M90,0)</f>
        <v>0</v>
      </c>
      <c r="AL90" s="46">
        <f>IF(AN90=21,M90,0)</f>
        <v>0</v>
      </c>
      <c r="AN90" s="46">
        <v>21</v>
      </c>
      <c r="AO90" s="46">
        <f>J90*0.0219207592209834</f>
        <v>0</v>
      </c>
      <c r="AP90" s="46">
        <f>J90*(1-0.0219207592209834)</f>
        <v>0</v>
      </c>
      <c r="AQ90" s="42" t="s">
        <v>1648</v>
      </c>
      <c r="AV90" s="46">
        <f>AW90+AX90</f>
        <v>0</v>
      </c>
      <c r="AW90" s="46">
        <f>I90*AO90</f>
        <v>0</v>
      </c>
      <c r="AX90" s="46">
        <f>I90*AP90</f>
        <v>0</v>
      </c>
      <c r="AY90" s="42" t="s">
        <v>179</v>
      </c>
      <c r="AZ90" s="42" t="s">
        <v>1517</v>
      </c>
      <c r="BA90" s="1" t="s">
        <v>1521</v>
      </c>
      <c r="BC90" s="46">
        <f>AW90+AX90</f>
        <v>0</v>
      </c>
      <c r="BD90" s="46">
        <f>J90/(100-BE90)*100</f>
        <v>0</v>
      </c>
      <c r="BE90" s="46">
        <v>0</v>
      </c>
      <c r="BF90" s="46">
        <f>90</f>
        <v>90</v>
      </c>
      <c r="BH90" s="46">
        <f>I90*AO90</f>
        <v>0</v>
      </c>
      <c r="BI90" s="46">
        <f>I90*AP90</f>
        <v>0</v>
      </c>
      <c r="BJ90" s="46">
        <f>I90*J90</f>
        <v>0</v>
      </c>
      <c r="BK90" s="46"/>
      <c r="BL90" s="46">
        <v>11</v>
      </c>
    </row>
    <row r="91" spans="1:15" ht="15" customHeight="1">
      <c r="A91" s="10"/>
      <c r="D91" s="32" t="s">
        <v>470</v>
      </c>
      <c r="G91" s="32" t="s">
        <v>1163</v>
      </c>
      <c r="I91" s="58">
        <v>2985.0000000000005</v>
      </c>
      <c r="O91" s="30"/>
    </row>
    <row r="92" spans="1:47" ht="15" customHeight="1">
      <c r="A92" s="3" t="s">
        <v>1163</v>
      </c>
      <c r="B92" s="9" t="s">
        <v>1864</v>
      </c>
      <c r="C92" s="9" t="s">
        <v>1333</v>
      </c>
      <c r="D92" s="64" t="s">
        <v>1677</v>
      </c>
      <c r="E92" s="64"/>
      <c r="F92" s="64"/>
      <c r="G92" s="64"/>
      <c r="H92" s="41" t="s">
        <v>1537</v>
      </c>
      <c r="I92" s="41" t="s">
        <v>1537</v>
      </c>
      <c r="J92" s="41" t="s">
        <v>1537</v>
      </c>
      <c r="K92" s="50">
        <f>SUM(K93:K93)</f>
        <v>0</v>
      </c>
      <c r="L92" s="50">
        <f>SUM(L93:L93)</f>
        <v>0</v>
      </c>
      <c r="M92" s="50">
        <f>SUM(M93:M93)</f>
        <v>0</v>
      </c>
      <c r="N92" s="1" t="s">
        <v>1163</v>
      </c>
      <c r="O92" s="45" t="s">
        <v>1163</v>
      </c>
      <c r="AI92" s="1" t="s">
        <v>1864</v>
      </c>
      <c r="AS92" s="50">
        <f>SUM(AJ93:AJ93)</f>
        <v>0</v>
      </c>
      <c r="AT92" s="50">
        <f>SUM(AK93:AK93)</f>
        <v>0</v>
      </c>
      <c r="AU92" s="50">
        <f>SUM(AL93:AL93)</f>
        <v>0</v>
      </c>
    </row>
    <row r="93" spans="1:64" ht="15" customHeight="1">
      <c r="A93" s="52" t="s">
        <v>339</v>
      </c>
      <c r="B93" s="43" t="s">
        <v>1864</v>
      </c>
      <c r="C93" s="43" t="s">
        <v>1259</v>
      </c>
      <c r="D93" s="61" t="s">
        <v>1026</v>
      </c>
      <c r="E93" s="61"/>
      <c r="F93" s="61"/>
      <c r="G93" s="61"/>
      <c r="H93" s="43" t="s">
        <v>1629</v>
      </c>
      <c r="I93" s="46">
        <v>3020</v>
      </c>
      <c r="J93" s="46">
        <v>0</v>
      </c>
      <c r="K93" s="46">
        <f>I93*AO93</f>
        <v>0</v>
      </c>
      <c r="L93" s="46">
        <f>I93*AP93</f>
        <v>0</v>
      </c>
      <c r="M93" s="46">
        <f>I93*J93</f>
        <v>0</v>
      </c>
      <c r="N93" s="46">
        <v>0</v>
      </c>
      <c r="O93" s="6" t="s">
        <v>1149</v>
      </c>
      <c r="Z93" s="46">
        <f>IF(AQ93="5",BJ93,0)</f>
        <v>0</v>
      </c>
      <c r="AB93" s="46">
        <f>IF(AQ93="1",BH93,0)</f>
        <v>0</v>
      </c>
      <c r="AC93" s="46">
        <f>IF(AQ93="1",BI93,0)</f>
        <v>0</v>
      </c>
      <c r="AD93" s="46">
        <f>IF(AQ93="7",BH93,0)</f>
        <v>0</v>
      </c>
      <c r="AE93" s="46">
        <f>IF(AQ93="7",BI93,0)</f>
        <v>0</v>
      </c>
      <c r="AF93" s="46">
        <f>IF(AQ93="2",BH93,0)</f>
        <v>0</v>
      </c>
      <c r="AG93" s="46">
        <f>IF(AQ93="2",BI93,0)</f>
        <v>0</v>
      </c>
      <c r="AH93" s="46">
        <f>IF(AQ93="0",BJ93,0)</f>
        <v>0</v>
      </c>
      <c r="AI93" s="1" t="s">
        <v>1864</v>
      </c>
      <c r="AJ93" s="46">
        <f>IF(AN93=0,M93,0)</f>
        <v>0</v>
      </c>
      <c r="AK93" s="46">
        <f>IF(AN93=15,M93,0)</f>
        <v>0</v>
      </c>
      <c r="AL93" s="46">
        <f>IF(AN93=21,M93,0)</f>
        <v>0</v>
      </c>
      <c r="AN93" s="46">
        <v>21</v>
      </c>
      <c r="AO93" s="46">
        <f>J93*0</f>
        <v>0</v>
      </c>
      <c r="AP93" s="46">
        <f>J93*(1-0)</f>
        <v>0</v>
      </c>
      <c r="AQ93" s="42" t="s">
        <v>1648</v>
      </c>
      <c r="AV93" s="46">
        <f>AW93+AX93</f>
        <v>0</v>
      </c>
      <c r="AW93" s="46">
        <f>I93*AO93</f>
        <v>0</v>
      </c>
      <c r="AX93" s="46">
        <f>I93*AP93</f>
        <v>0</v>
      </c>
      <c r="AY93" s="42" t="s">
        <v>814</v>
      </c>
      <c r="AZ93" s="42" t="s">
        <v>1517</v>
      </c>
      <c r="BA93" s="1" t="s">
        <v>1521</v>
      </c>
      <c r="BC93" s="46">
        <f>AW93+AX93</f>
        <v>0</v>
      </c>
      <c r="BD93" s="46">
        <f>J93/(100-BE93)*100</f>
        <v>0</v>
      </c>
      <c r="BE93" s="46">
        <v>0</v>
      </c>
      <c r="BF93" s="46">
        <f>93</f>
        <v>93</v>
      </c>
      <c r="BH93" s="46">
        <f>I93*AO93</f>
        <v>0</v>
      </c>
      <c r="BI93" s="46">
        <f>I93*AP93</f>
        <v>0</v>
      </c>
      <c r="BJ93" s="46">
        <f>I93*J93</f>
        <v>0</v>
      </c>
      <c r="BK93" s="46"/>
      <c r="BL93" s="46">
        <v>18</v>
      </c>
    </row>
    <row r="94" spans="1:15" ht="15" customHeight="1">
      <c r="A94" s="10"/>
      <c r="D94" s="32" t="s">
        <v>318</v>
      </c>
      <c r="G94" s="32" t="s">
        <v>1163</v>
      </c>
      <c r="I94" s="58">
        <v>3020.0000000000005</v>
      </c>
      <c r="O94" s="30"/>
    </row>
    <row r="95" spans="1:47" ht="15" customHeight="1">
      <c r="A95" s="3" t="s">
        <v>1163</v>
      </c>
      <c r="B95" s="9" t="s">
        <v>1864</v>
      </c>
      <c r="C95" s="9" t="s">
        <v>1184</v>
      </c>
      <c r="D95" s="64" t="s">
        <v>563</v>
      </c>
      <c r="E95" s="64"/>
      <c r="F95" s="64"/>
      <c r="G95" s="64"/>
      <c r="H95" s="41" t="s">
        <v>1537</v>
      </c>
      <c r="I95" s="41" t="s">
        <v>1537</v>
      </c>
      <c r="J95" s="41" t="s">
        <v>1537</v>
      </c>
      <c r="K95" s="50">
        <f>SUM(K96:K98)</f>
        <v>0</v>
      </c>
      <c r="L95" s="50">
        <f>SUM(L96:L98)</f>
        <v>0</v>
      </c>
      <c r="M95" s="50">
        <f>SUM(M96:M98)</f>
        <v>0</v>
      </c>
      <c r="N95" s="1" t="s">
        <v>1163</v>
      </c>
      <c r="O95" s="45" t="s">
        <v>1163</v>
      </c>
      <c r="AI95" s="1" t="s">
        <v>1864</v>
      </c>
      <c r="AS95" s="50">
        <f>SUM(AJ96:AJ98)</f>
        <v>0</v>
      </c>
      <c r="AT95" s="50">
        <f>SUM(AK96:AK98)</f>
        <v>0</v>
      </c>
      <c r="AU95" s="50">
        <f>SUM(AL96:AL98)</f>
        <v>0</v>
      </c>
    </row>
    <row r="96" spans="1:64" ht="15" customHeight="1">
      <c r="A96" s="52" t="s">
        <v>1843</v>
      </c>
      <c r="B96" s="43" t="s">
        <v>1864</v>
      </c>
      <c r="C96" s="43" t="s">
        <v>956</v>
      </c>
      <c r="D96" s="61" t="s">
        <v>981</v>
      </c>
      <c r="E96" s="61"/>
      <c r="F96" s="61"/>
      <c r="G96" s="61"/>
      <c r="H96" s="43" t="s">
        <v>1629</v>
      </c>
      <c r="I96" s="46">
        <v>3020</v>
      </c>
      <c r="J96" s="46">
        <v>0</v>
      </c>
      <c r="K96" s="46">
        <f>I96*AO96</f>
        <v>0</v>
      </c>
      <c r="L96" s="46">
        <f>I96*AP96</f>
        <v>0</v>
      </c>
      <c r="M96" s="46">
        <f>I96*J96</f>
        <v>0</v>
      </c>
      <c r="N96" s="46">
        <v>0</v>
      </c>
      <c r="O96" s="6" t="s">
        <v>1149</v>
      </c>
      <c r="Z96" s="46">
        <f>IF(AQ96="5",BJ96,0)</f>
        <v>0</v>
      </c>
      <c r="AB96" s="46">
        <f>IF(AQ96="1",BH96,0)</f>
        <v>0</v>
      </c>
      <c r="AC96" s="46">
        <f>IF(AQ96="1",BI96,0)</f>
        <v>0</v>
      </c>
      <c r="AD96" s="46">
        <f>IF(AQ96="7",BH96,0)</f>
        <v>0</v>
      </c>
      <c r="AE96" s="46">
        <f>IF(AQ96="7",BI96,0)</f>
        <v>0</v>
      </c>
      <c r="AF96" s="46">
        <f>IF(AQ96="2",BH96,0)</f>
        <v>0</v>
      </c>
      <c r="AG96" s="46">
        <f>IF(AQ96="2",BI96,0)</f>
        <v>0</v>
      </c>
      <c r="AH96" s="46">
        <f>IF(AQ96="0",BJ96,0)</f>
        <v>0</v>
      </c>
      <c r="AI96" s="1" t="s">
        <v>1864</v>
      </c>
      <c r="AJ96" s="46">
        <f>IF(AN96=0,M96,0)</f>
        <v>0</v>
      </c>
      <c r="AK96" s="46">
        <f>IF(AN96=15,M96,0)</f>
        <v>0</v>
      </c>
      <c r="AL96" s="46">
        <f>IF(AN96=21,M96,0)</f>
        <v>0</v>
      </c>
      <c r="AN96" s="46">
        <v>21</v>
      </c>
      <c r="AO96" s="46">
        <f>J96*0</f>
        <v>0</v>
      </c>
      <c r="AP96" s="46">
        <f>J96*(1-0)</f>
        <v>0</v>
      </c>
      <c r="AQ96" s="42" t="s">
        <v>1648</v>
      </c>
      <c r="AV96" s="46">
        <f>AW96+AX96</f>
        <v>0</v>
      </c>
      <c r="AW96" s="46">
        <f>I96*AO96</f>
        <v>0</v>
      </c>
      <c r="AX96" s="46">
        <f>I96*AP96</f>
        <v>0</v>
      </c>
      <c r="AY96" s="42" t="s">
        <v>1028</v>
      </c>
      <c r="AZ96" s="42" t="s">
        <v>667</v>
      </c>
      <c r="BA96" s="1" t="s">
        <v>1521</v>
      </c>
      <c r="BC96" s="46">
        <f>AW96+AX96</f>
        <v>0</v>
      </c>
      <c r="BD96" s="46">
        <f>J96/(100-BE96)*100</f>
        <v>0</v>
      </c>
      <c r="BE96" s="46">
        <v>0</v>
      </c>
      <c r="BF96" s="46">
        <f>96</f>
        <v>96</v>
      </c>
      <c r="BH96" s="46">
        <f>I96*AO96</f>
        <v>0</v>
      </c>
      <c r="BI96" s="46">
        <f>I96*AP96</f>
        <v>0</v>
      </c>
      <c r="BJ96" s="46">
        <f>I96*J96</f>
        <v>0</v>
      </c>
      <c r="BK96" s="46"/>
      <c r="BL96" s="46">
        <v>21</v>
      </c>
    </row>
    <row r="97" spans="1:15" ht="15" customHeight="1">
      <c r="A97" s="10"/>
      <c r="D97" s="32" t="s">
        <v>318</v>
      </c>
      <c r="G97" s="32" t="s">
        <v>1163</v>
      </c>
      <c r="I97" s="58">
        <v>3020.0000000000005</v>
      </c>
      <c r="O97" s="30"/>
    </row>
    <row r="98" spans="1:64" ht="15" customHeight="1">
      <c r="A98" s="52" t="s">
        <v>1468</v>
      </c>
      <c r="B98" s="43" t="s">
        <v>1864</v>
      </c>
      <c r="C98" s="43" t="s">
        <v>481</v>
      </c>
      <c r="D98" s="61" t="s">
        <v>1786</v>
      </c>
      <c r="E98" s="61"/>
      <c r="F98" s="61"/>
      <c r="G98" s="61"/>
      <c r="H98" s="43" t="s">
        <v>1365</v>
      </c>
      <c r="I98" s="46">
        <v>910</v>
      </c>
      <c r="J98" s="46">
        <v>0</v>
      </c>
      <c r="K98" s="46">
        <f>I98*AO98</f>
        <v>0</v>
      </c>
      <c r="L98" s="46">
        <f>I98*AP98</f>
        <v>0</v>
      </c>
      <c r="M98" s="46">
        <f>I98*J98</f>
        <v>0</v>
      </c>
      <c r="N98" s="46">
        <v>0.43683</v>
      </c>
      <c r="O98" s="6" t="s">
        <v>1149</v>
      </c>
      <c r="Z98" s="46">
        <f>IF(AQ98="5",BJ98,0)</f>
        <v>0</v>
      </c>
      <c r="AB98" s="46">
        <f>IF(AQ98="1",BH98,0)</f>
        <v>0</v>
      </c>
      <c r="AC98" s="46">
        <f>IF(AQ98="1",BI98,0)</f>
        <v>0</v>
      </c>
      <c r="AD98" s="46">
        <f>IF(AQ98="7",BH98,0)</f>
        <v>0</v>
      </c>
      <c r="AE98" s="46">
        <f>IF(AQ98="7",BI98,0)</f>
        <v>0</v>
      </c>
      <c r="AF98" s="46">
        <f>IF(AQ98="2",BH98,0)</f>
        <v>0</v>
      </c>
      <c r="AG98" s="46">
        <f>IF(AQ98="2",BI98,0)</f>
        <v>0</v>
      </c>
      <c r="AH98" s="46">
        <f>IF(AQ98="0",BJ98,0)</f>
        <v>0</v>
      </c>
      <c r="AI98" s="1" t="s">
        <v>1864</v>
      </c>
      <c r="AJ98" s="46">
        <f>IF(AN98=0,M98,0)</f>
        <v>0</v>
      </c>
      <c r="AK98" s="46">
        <f>IF(AN98=15,M98,0)</f>
        <v>0</v>
      </c>
      <c r="AL98" s="46">
        <f>IF(AN98=21,M98,0)</f>
        <v>0</v>
      </c>
      <c r="AN98" s="46">
        <v>21</v>
      </c>
      <c r="AO98" s="46">
        <f>J98*0.531695364238411</f>
        <v>0</v>
      </c>
      <c r="AP98" s="46">
        <f>J98*(1-0.531695364238411)</f>
        <v>0</v>
      </c>
      <c r="AQ98" s="42" t="s">
        <v>1648</v>
      </c>
      <c r="AV98" s="46">
        <f>AW98+AX98</f>
        <v>0</v>
      </c>
      <c r="AW98" s="46">
        <f>I98*AO98</f>
        <v>0</v>
      </c>
      <c r="AX98" s="46">
        <f>I98*AP98</f>
        <v>0</v>
      </c>
      <c r="AY98" s="42" t="s">
        <v>1028</v>
      </c>
      <c r="AZ98" s="42" t="s">
        <v>667</v>
      </c>
      <c r="BA98" s="1" t="s">
        <v>1521</v>
      </c>
      <c r="BC98" s="46">
        <f>AW98+AX98</f>
        <v>0</v>
      </c>
      <c r="BD98" s="46">
        <f>J98/(100-BE98)*100</f>
        <v>0</v>
      </c>
      <c r="BE98" s="46">
        <v>0</v>
      </c>
      <c r="BF98" s="46">
        <f>98</f>
        <v>98</v>
      </c>
      <c r="BH98" s="46">
        <f>I98*AO98</f>
        <v>0</v>
      </c>
      <c r="BI98" s="46">
        <f>I98*AP98</f>
        <v>0</v>
      </c>
      <c r="BJ98" s="46">
        <f>I98*J98</f>
        <v>0</v>
      </c>
      <c r="BK98" s="46"/>
      <c r="BL98" s="46">
        <v>21</v>
      </c>
    </row>
    <row r="99" spans="1:15" ht="15" customHeight="1">
      <c r="A99" s="10"/>
      <c r="D99" s="32" t="s">
        <v>1210</v>
      </c>
      <c r="G99" s="32" t="s">
        <v>1163</v>
      </c>
      <c r="I99" s="58">
        <v>910.0000000000001</v>
      </c>
      <c r="O99" s="30"/>
    </row>
    <row r="100" spans="1:15" ht="13.5" customHeight="1">
      <c r="A100" s="10"/>
      <c r="C100" s="36" t="s">
        <v>144</v>
      </c>
      <c r="D100" s="65" t="s">
        <v>314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7"/>
    </row>
    <row r="101" spans="1:47" ht="15" customHeight="1">
      <c r="A101" s="3" t="s">
        <v>1163</v>
      </c>
      <c r="B101" s="9" t="s">
        <v>1864</v>
      </c>
      <c r="C101" s="9" t="s">
        <v>1801</v>
      </c>
      <c r="D101" s="64" t="s">
        <v>915</v>
      </c>
      <c r="E101" s="64"/>
      <c r="F101" s="64"/>
      <c r="G101" s="64"/>
      <c r="H101" s="41" t="s">
        <v>1537</v>
      </c>
      <c r="I101" s="41" t="s">
        <v>1537</v>
      </c>
      <c r="J101" s="41" t="s">
        <v>1537</v>
      </c>
      <c r="K101" s="50">
        <f>SUM(K102:K102)</f>
        <v>0</v>
      </c>
      <c r="L101" s="50">
        <f>SUM(L102:L102)</f>
        <v>0</v>
      </c>
      <c r="M101" s="50">
        <f>SUM(M102:M102)</f>
        <v>0</v>
      </c>
      <c r="N101" s="1" t="s">
        <v>1163</v>
      </c>
      <c r="O101" s="45" t="s">
        <v>1163</v>
      </c>
      <c r="AI101" s="1" t="s">
        <v>1864</v>
      </c>
      <c r="AS101" s="50">
        <f>SUM(AJ102:AJ102)</f>
        <v>0</v>
      </c>
      <c r="AT101" s="50">
        <f>SUM(AK102:AK102)</f>
        <v>0</v>
      </c>
      <c r="AU101" s="50">
        <f>SUM(AL102:AL102)</f>
        <v>0</v>
      </c>
    </row>
    <row r="102" spans="1:64" ht="15" customHeight="1">
      <c r="A102" s="52" t="s">
        <v>979</v>
      </c>
      <c r="B102" s="43" t="s">
        <v>1864</v>
      </c>
      <c r="C102" s="43" t="s">
        <v>1098</v>
      </c>
      <c r="D102" s="61" t="s">
        <v>1420</v>
      </c>
      <c r="E102" s="61"/>
      <c r="F102" s="61"/>
      <c r="G102" s="61"/>
      <c r="H102" s="43" t="s">
        <v>1629</v>
      </c>
      <c r="I102" s="46">
        <v>2374</v>
      </c>
      <c r="J102" s="46">
        <v>0</v>
      </c>
      <c r="K102" s="46">
        <f>I102*AO102</f>
        <v>0</v>
      </c>
      <c r="L102" s="46">
        <f>I102*AP102</f>
        <v>0</v>
      </c>
      <c r="M102" s="46">
        <f>I102*J102</f>
        <v>0</v>
      </c>
      <c r="N102" s="46">
        <v>3E-05</v>
      </c>
      <c r="O102" s="6" t="s">
        <v>1149</v>
      </c>
      <c r="Z102" s="46">
        <f>IF(AQ102="5",BJ102,0)</f>
        <v>0</v>
      </c>
      <c r="AB102" s="46">
        <f>IF(AQ102="1",BH102,0)</f>
        <v>0</v>
      </c>
      <c r="AC102" s="46">
        <f>IF(AQ102="1",BI102,0)</f>
        <v>0</v>
      </c>
      <c r="AD102" s="46">
        <f>IF(AQ102="7",BH102,0)</f>
        <v>0</v>
      </c>
      <c r="AE102" s="46">
        <f>IF(AQ102="7",BI102,0)</f>
        <v>0</v>
      </c>
      <c r="AF102" s="46">
        <f>IF(AQ102="2",BH102,0)</f>
        <v>0</v>
      </c>
      <c r="AG102" s="46">
        <f>IF(AQ102="2",BI102,0)</f>
        <v>0</v>
      </c>
      <c r="AH102" s="46">
        <f>IF(AQ102="0",BJ102,0)</f>
        <v>0</v>
      </c>
      <c r="AI102" s="1" t="s">
        <v>1864</v>
      </c>
      <c r="AJ102" s="46">
        <f>IF(AN102=0,M102,0)</f>
        <v>0</v>
      </c>
      <c r="AK102" s="46">
        <f>IF(AN102=15,M102,0)</f>
        <v>0</v>
      </c>
      <c r="AL102" s="46">
        <f>IF(AN102=21,M102,0)</f>
        <v>0</v>
      </c>
      <c r="AN102" s="46">
        <v>21</v>
      </c>
      <c r="AO102" s="46">
        <f>J102*0.025451180009255</f>
        <v>0</v>
      </c>
      <c r="AP102" s="46">
        <f>J102*(1-0.025451180009255)</f>
        <v>0</v>
      </c>
      <c r="AQ102" s="42" t="s">
        <v>1648</v>
      </c>
      <c r="AV102" s="46">
        <f>AW102+AX102</f>
        <v>0</v>
      </c>
      <c r="AW102" s="46">
        <f>I102*AO102</f>
        <v>0</v>
      </c>
      <c r="AX102" s="46">
        <f>I102*AP102</f>
        <v>0</v>
      </c>
      <c r="AY102" s="42" t="s">
        <v>743</v>
      </c>
      <c r="AZ102" s="42" t="s">
        <v>667</v>
      </c>
      <c r="BA102" s="1" t="s">
        <v>1521</v>
      </c>
      <c r="BC102" s="46">
        <f>AW102+AX102</f>
        <v>0</v>
      </c>
      <c r="BD102" s="46">
        <f>J102/(100-BE102)*100</f>
        <v>0</v>
      </c>
      <c r="BE102" s="46">
        <v>0</v>
      </c>
      <c r="BF102" s="46">
        <f>102</f>
        <v>102</v>
      </c>
      <c r="BH102" s="46">
        <f>I102*AO102</f>
        <v>0</v>
      </c>
      <c r="BI102" s="46">
        <f>I102*AP102</f>
        <v>0</v>
      </c>
      <c r="BJ102" s="46">
        <f>I102*J102</f>
        <v>0</v>
      </c>
      <c r="BK102" s="46"/>
      <c r="BL102" s="46">
        <v>28</v>
      </c>
    </row>
    <row r="103" spans="1:15" ht="15" customHeight="1">
      <c r="A103" s="10"/>
      <c r="D103" s="32" t="s">
        <v>1555</v>
      </c>
      <c r="G103" s="32" t="s">
        <v>1163</v>
      </c>
      <c r="I103" s="58">
        <v>2374</v>
      </c>
      <c r="O103" s="30"/>
    </row>
    <row r="104" spans="1:47" ht="15" customHeight="1">
      <c r="A104" s="3" t="s">
        <v>1163</v>
      </c>
      <c r="B104" s="9" t="s">
        <v>1864</v>
      </c>
      <c r="C104" s="9" t="s">
        <v>1063</v>
      </c>
      <c r="D104" s="64" t="s">
        <v>1529</v>
      </c>
      <c r="E104" s="64"/>
      <c r="F104" s="64"/>
      <c r="G104" s="64"/>
      <c r="H104" s="41" t="s">
        <v>1537</v>
      </c>
      <c r="I104" s="41" t="s">
        <v>1537</v>
      </c>
      <c r="J104" s="41" t="s">
        <v>1537</v>
      </c>
      <c r="K104" s="50">
        <f>SUM(K105:K109)</f>
        <v>0</v>
      </c>
      <c r="L104" s="50">
        <f>SUM(L105:L109)</f>
        <v>0</v>
      </c>
      <c r="M104" s="50">
        <f>SUM(M105:M109)</f>
        <v>0</v>
      </c>
      <c r="N104" s="1" t="s">
        <v>1163</v>
      </c>
      <c r="O104" s="45" t="s">
        <v>1163</v>
      </c>
      <c r="AI104" s="1" t="s">
        <v>1864</v>
      </c>
      <c r="AS104" s="50">
        <f>SUM(AJ105:AJ109)</f>
        <v>0</v>
      </c>
      <c r="AT104" s="50">
        <f>SUM(AK105:AK109)</f>
        <v>0</v>
      </c>
      <c r="AU104" s="50">
        <f>SUM(AL105:AL109)</f>
        <v>0</v>
      </c>
    </row>
    <row r="105" spans="1:64" ht="15" customHeight="1">
      <c r="A105" s="52" t="s">
        <v>1626</v>
      </c>
      <c r="B105" s="43" t="s">
        <v>1864</v>
      </c>
      <c r="C105" s="43" t="s">
        <v>83</v>
      </c>
      <c r="D105" s="61" t="s">
        <v>1585</v>
      </c>
      <c r="E105" s="61"/>
      <c r="F105" s="61"/>
      <c r="G105" s="61"/>
      <c r="H105" s="43" t="s">
        <v>1629</v>
      </c>
      <c r="I105" s="46">
        <v>2985</v>
      </c>
      <c r="J105" s="46">
        <v>0</v>
      </c>
      <c r="K105" s="46">
        <f>I105*AO105</f>
        <v>0</v>
      </c>
      <c r="L105" s="46">
        <f>I105*AP105</f>
        <v>0</v>
      </c>
      <c r="M105" s="46">
        <f>I105*J105</f>
        <v>0</v>
      </c>
      <c r="N105" s="46">
        <v>0.378</v>
      </c>
      <c r="O105" s="6" t="s">
        <v>1149</v>
      </c>
      <c r="Z105" s="46">
        <f>IF(AQ105="5",BJ105,0)</f>
        <v>0</v>
      </c>
      <c r="AB105" s="46">
        <f>IF(AQ105="1",BH105,0)</f>
        <v>0</v>
      </c>
      <c r="AC105" s="46">
        <f>IF(AQ105="1",BI105,0)</f>
        <v>0</v>
      </c>
      <c r="AD105" s="46">
        <f>IF(AQ105="7",BH105,0)</f>
        <v>0</v>
      </c>
      <c r="AE105" s="46">
        <f>IF(AQ105="7",BI105,0)</f>
        <v>0</v>
      </c>
      <c r="AF105" s="46">
        <f>IF(AQ105="2",BH105,0)</f>
        <v>0</v>
      </c>
      <c r="AG105" s="46">
        <f>IF(AQ105="2",BI105,0)</f>
        <v>0</v>
      </c>
      <c r="AH105" s="46">
        <f>IF(AQ105="0",BJ105,0)</f>
        <v>0</v>
      </c>
      <c r="AI105" s="1" t="s">
        <v>1864</v>
      </c>
      <c r="AJ105" s="46">
        <f>IF(AN105=0,M105,0)</f>
        <v>0</v>
      </c>
      <c r="AK105" s="46">
        <f>IF(AN105=15,M105,0)</f>
        <v>0</v>
      </c>
      <c r="AL105" s="46">
        <f>IF(AN105=21,M105,0)</f>
        <v>0</v>
      </c>
      <c r="AN105" s="46">
        <v>21</v>
      </c>
      <c r="AO105" s="46">
        <f>J105*0.843549618320611</f>
        <v>0</v>
      </c>
      <c r="AP105" s="46">
        <f>J105*(1-0.843549618320611)</f>
        <v>0</v>
      </c>
      <c r="AQ105" s="42" t="s">
        <v>1648</v>
      </c>
      <c r="AV105" s="46">
        <f>AW105+AX105</f>
        <v>0</v>
      </c>
      <c r="AW105" s="46">
        <f>I105*AO105</f>
        <v>0</v>
      </c>
      <c r="AX105" s="46">
        <f>I105*AP105</f>
        <v>0</v>
      </c>
      <c r="AY105" s="42" t="s">
        <v>1727</v>
      </c>
      <c r="AZ105" s="42" t="s">
        <v>998</v>
      </c>
      <c r="BA105" s="1" t="s">
        <v>1521</v>
      </c>
      <c r="BC105" s="46">
        <f>AW105+AX105</f>
        <v>0</v>
      </c>
      <c r="BD105" s="46">
        <f>J105/(100-BE105)*100</f>
        <v>0</v>
      </c>
      <c r="BE105" s="46">
        <v>0</v>
      </c>
      <c r="BF105" s="46">
        <f>105</f>
        <v>105</v>
      </c>
      <c r="BH105" s="46">
        <f>I105*AO105</f>
        <v>0</v>
      </c>
      <c r="BI105" s="46">
        <f>I105*AP105</f>
        <v>0</v>
      </c>
      <c r="BJ105" s="46">
        <f>I105*J105</f>
        <v>0</v>
      </c>
      <c r="BK105" s="46"/>
      <c r="BL105" s="46">
        <v>56</v>
      </c>
    </row>
    <row r="106" spans="1:15" ht="15" customHeight="1">
      <c r="A106" s="10"/>
      <c r="D106" s="32" t="s">
        <v>470</v>
      </c>
      <c r="G106" s="32" t="s">
        <v>1163</v>
      </c>
      <c r="I106" s="58">
        <v>2985.0000000000005</v>
      </c>
      <c r="O106" s="30"/>
    </row>
    <row r="107" spans="1:64" ht="15" customHeight="1">
      <c r="A107" s="52" t="s">
        <v>1003</v>
      </c>
      <c r="B107" s="43" t="s">
        <v>1864</v>
      </c>
      <c r="C107" s="43" t="s">
        <v>83</v>
      </c>
      <c r="D107" s="61" t="s">
        <v>1585</v>
      </c>
      <c r="E107" s="61"/>
      <c r="F107" s="61"/>
      <c r="G107" s="61"/>
      <c r="H107" s="43" t="s">
        <v>1629</v>
      </c>
      <c r="I107" s="46">
        <v>2985</v>
      </c>
      <c r="J107" s="46">
        <v>0</v>
      </c>
      <c r="K107" s="46">
        <f>I107*AO107</f>
        <v>0</v>
      </c>
      <c r="L107" s="46">
        <f>I107*AP107</f>
        <v>0</v>
      </c>
      <c r="M107" s="46">
        <f>I107*J107</f>
        <v>0</v>
      </c>
      <c r="N107" s="46">
        <v>0.378</v>
      </c>
      <c r="O107" s="6" t="s">
        <v>1149</v>
      </c>
      <c r="Z107" s="46">
        <f>IF(AQ107="5",BJ107,0)</f>
        <v>0</v>
      </c>
      <c r="AB107" s="46">
        <f>IF(AQ107="1",BH107,0)</f>
        <v>0</v>
      </c>
      <c r="AC107" s="46">
        <f>IF(AQ107="1",BI107,0)</f>
        <v>0</v>
      </c>
      <c r="AD107" s="46">
        <f>IF(AQ107="7",BH107,0)</f>
        <v>0</v>
      </c>
      <c r="AE107" s="46">
        <f>IF(AQ107="7",BI107,0)</f>
        <v>0</v>
      </c>
      <c r="AF107" s="46">
        <f>IF(AQ107="2",BH107,0)</f>
        <v>0</v>
      </c>
      <c r="AG107" s="46">
        <f>IF(AQ107="2",BI107,0)</f>
        <v>0</v>
      </c>
      <c r="AH107" s="46">
        <f>IF(AQ107="0",BJ107,0)</f>
        <v>0</v>
      </c>
      <c r="AI107" s="1" t="s">
        <v>1864</v>
      </c>
      <c r="AJ107" s="46">
        <f>IF(AN107=0,M107,0)</f>
        <v>0</v>
      </c>
      <c r="AK107" s="46">
        <f>IF(AN107=15,M107,0)</f>
        <v>0</v>
      </c>
      <c r="AL107" s="46">
        <f>IF(AN107=21,M107,0)</f>
        <v>0</v>
      </c>
      <c r="AN107" s="46">
        <v>21</v>
      </c>
      <c r="AO107" s="46">
        <f>J107*0.843549618320611</f>
        <v>0</v>
      </c>
      <c r="AP107" s="46">
        <f>J107*(1-0.843549618320611)</f>
        <v>0</v>
      </c>
      <c r="AQ107" s="42" t="s">
        <v>1648</v>
      </c>
      <c r="AV107" s="46">
        <f>AW107+AX107</f>
        <v>0</v>
      </c>
      <c r="AW107" s="46">
        <f>I107*AO107</f>
        <v>0</v>
      </c>
      <c r="AX107" s="46">
        <f>I107*AP107</f>
        <v>0</v>
      </c>
      <c r="AY107" s="42" t="s">
        <v>1727</v>
      </c>
      <c r="AZ107" s="42" t="s">
        <v>998</v>
      </c>
      <c r="BA107" s="1" t="s">
        <v>1521</v>
      </c>
      <c r="BC107" s="46">
        <f>AW107+AX107</f>
        <v>0</v>
      </c>
      <c r="BD107" s="46">
        <f>J107/(100-BE107)*100</f>
        <v>0</v>
      </c>
      <c r="BE107" s="46">
        <v>0</v>
      </c>
      <c r="BF107" s="46">
        <f>107</f>
        <v>107</v>
      </c>
      <c r="BH107" s="46">
        <f>I107*AO107</f>
        <v>0</v>
      </c>
      <c r="BI107" s="46">
        <f>I107*AP107</f>
        <v>0</v>
      </c>
      <c r="BJ107" s="46">
        <f>I107*J107</f>
        <v>0</v>
      </c>
      <c r="BK107" s="46"/>
      <c r="BL107" s="46">
        <v>56</v>
      </c>
    </row>
    <row r="108" spans="1:15" ht="15" customHeight="1">
      <c r="A108" s="10"/>
      <c r="D108" s="32" t="s">
        <v>470</v>
      </c>
      <c r="G108" s="32" t="s">
        <v>1163</v>
      </c>
      <c r="I108" s="58">
        <v>2985.0000000000005</v>
      </c>
      <c r="O108" s="30"/>
    </row>
    <row r="109" spans="1:64" ht="15" customHeight="1">
      <c r="A109" s="52" t="s">
        <v>1084</v>
      </c>
      <c r="B109" s="43" t="s">
        <v>1864</v>
      </c>
      <c r="C109" s="43" t="s">
        <v>892</v>
      </c>
      <c r="D109" s="61" t="s">
        <v>1533</v>
      </c>
      <c r="E109" s="61"/>
      <c r="F109" s="61"/>
      <c r="G109" s="61"/>
      <c r="H109" s="43" t="s">
        <v>1629</v>
      </c>
      <c r="I109" s="46">
        <v>2985</v>
      </c>
      <c r="J109" s="46">
        <v>0</v>
      </c>
      <c r="K109" s="46">
        <f>I109*AO109</f>
        <v>0</v>
      </c>
      <c r="L109" s="46">
        <f>I109*AP109</f>
        <v>0</v>
      </c>
      <c r="M109" s="46">
        <f>I109*J109</f>
        <v>0</v>
      </c>
      <c r="N109" s="46">
        <v>0.18463</v>
      </c>
      <c r="O109" s="6" t="s">
        <v>1149</v>
      </c>
      <c r="Z109" s="46">
        <f>IF(AQ109="5",BJ109,0)</f>
        <v>0</v>
      </c>
      <c r="AB109" s="46">
        <f>IF(AQ109="1",BH109,0)</f>
        <v>0</v>
      </c>
      <c r="AC109" s="46">
        <f>IF(AQ109="1",BI109,0)</f>
        <v>0</v>
      </c>
      <c r="AD109" s="46">
        <f>IF(AQ109="7",BH109,0)</f>
        <v>0</v>
      </c>
      <c r="AE109" s="46">
        <f>IF(AQ109="7",BI109,0)</f>
        <v>0</v>
      </c>
      <c r="AF109" s="46">
        <f>IF(AQ109="2",BH109,0)</f>
        <v>0</v>
      </c>
      <c r="AG109" s="46">
        <f>IF(AQ109="2",BI109,0)</f>
        <v>0</v>
      </c>
      <c r="AH109" s="46">
        <f>IF(AQ109="0",BJ109,0)</f>
        <v>0</v>
      </c>
      <c r="AI109" s="1" t="s">
        <v>1864</v>
      </c>
      <c r="AJ109" s="46">
        <f>IF(AN109=0,M109,0)</f>
        <v>0</v>
      </c>
      <c r="AK109" s="46">
        <f>IF(AN109=15,M109,0)</f>
        <v>0</v>
      </c>
      <c r="AL109" s="46">
        <f>IF(AN109=21,M109,0)</f>
        <v>0</v>
      </c>
      <c r="AN109" s="46">
        <v>21</v>
      </c>
      <c r="AO109" s="46">
        <f>J109*0.803358925143954</f>
        <v>0</v>
      </c>
      <c r="AP109" s="46">
        <f>J109*(1-0.803358925143954)</f>
        <v>0</v>
      </c>
      <c r="AQ109" s="42" t="s">
        <v>1648</v>
      </c>
      <c r="AV109" s="46">
        <f>AW109+AX109</f>
        <v>0</v>
      </c>
      <c r="AW109" s="46">
        <f>I109*AO109</f>
        <v>0</v>
      </c>
      <c r="AX109" s="46">
        <f>I109*AP109</f>
        <v>0</v>
      </c>
      <c r="AY109" s="42" t="s">
        <v>1727</v>
      </c>
      <c r="AZ109" s="42" t="s">
        <v>998</v>
      </c>
      <c r="BA109" s="1" t="s">
        <v>1521</v>
      </c>
      <c r="BC109" s="46">
        <f>AW109+AX109</f>
        <v>0</v>
      </c>
      <c r="BD109" s="46">
        <f>J109/(100-BE109)*100</f>
        <v>0</v>
      </c>
      <c r="BE109" s="46">
        <v>0</v>
      </c>
      <c r="BF109" s="46">
        <f>109</f>
        <v>109</v>
      </c>
      <c r="BH109" s="46">
        <f>I109*AO109</f>
        <v>0</v>
      </c>
      <c r="BI109" s="46">
        <f>I109*AP109</f>
        <v>0</v>
      </c>
      <c r="BJ109" s="46">
        <f>I109*J109</f>
        <v>0</v>
      </c>
      <c r="BK109" s="46"/>
      <c r="BL109" s="46">
        <v>56</v>
      </c>
    </row>
    <row r="110" spans="1:15" ht="15" customHeight="1">
      <c r="A110" s="10"/>
      <c r="D110" s="32" t="s">
        <v>470</v>
      </c>
      <c r="G110" s="32" t="s">
        <v>1163</v>
      </c>
      <c r="I110" s="58">
        <v>2985.0000000000005</v>
      </c>
      <c r="O110" s="30"/>
    </row>
    <row r="111" spans="1:47" ht="15" customHeight="1">
      <c r="A111" s="3" t="s">
        <v>1163</v>
      </c>
      <c r="B111" s="9" t="s">
        <v>1864</v>
      </c>
      <c r="C111" s="9" t="s">
        <v>1581</v>
      </c>
      <c r="D111" s="64" t="s">
        <v>1120</v>
      </c>
      <c r="E111" s="64"/>
      <c r="F111" s="64"/>
      <c r="G111" s="64"/>
      <c r="H111" s="41" t="s">
        <v>1537</v>
      </c>
      <c r="I111" s="41" t="s">
        <v>1537</v>
      </c>
      <c r="J111" s="41" t="s">
        <v>1537</v>
      </c>
      <c r="K111" s="50">
        <f>SUM(K112:K116)</f>
        <v>0</v>
      </c>
      <c r="L111" s="50">
        <f>SUM(L112:L116)</f>
        <v>0</v>
      </c>
      <c r="M111" s="50">
        <f>SUM(M112:M116)</f>
        <v>0</v>
      </c>
      <c r="N111" s="1" t="s">
        <v>1163</v>
      </c>
      <c r="O111" s="45" t="s">
        <v>1163</v>
      </c>
      <c r="AI111" s="1" t="s">
        <v>1864</v>
      </c>
      <c r="AS111" s="50">
        <f>SUM(AJ112:AJ116)</f>
        <v>0</v>
      </c>
      <c r="AT111" s="50">
        <f>SUM(AK112:AK116)</f>
        <v>0</v>
      </c>
      <c r="AU111" s="50">
        <f>SUM(AL112:AL116)</f>
        <v>0</v>
      </c>
    </row>
    <row r="112" spans="1:64" ht="15" customHeight="1">
      <c r="A112" s="52" t="s">
        <v>574</v>
      </c>
      <c r="B112" s="43" t="s">
        <v>1864</v>
      </c>
      <c r="C112" s="43" t="s">
        <v>1478</v>
      </c>
      <c r="D112" s="61" t="s">
        <v>1542</v>
      </c>
      <c r="E112" s="61"/>
      <c r="F112" s="61"/>
      <c r="G112" s="61"/>
      <c r="H112" s="43" t="s">
        <v>1629</v>
      </c>
      <c r="I112" s="46">
        <v>2985</v>
      </c>
      <c r="J112" s="46">
        <v>0</v>
      </c>
      <c r="K112" s="46">
        <f>I112*AO112</f>
        <v>0</v>
      </c>
      <c r="L112" s="46">
        <f>I112*AP112</f>
        <v>0</v>
      </c>
      <c r="M112" s="46">
        <f>I112*J112</f>
        <v>0</v>
      </c>
      <c r="N112" s="46">
        <v>0.00561</v>
      </c>
      <c r="O112" s="6" t="s">
        <v>1149</v>
      </c>
      <c r="Z112" s="46">
        <f>IF(AQ112="5",BJ112,0)</f>
        <v>0</v>
      </c>
      <c r="AB112" s="46">
        <f>IF(AQ112="1",BH112,0)</f>
        <v>0</v>
      </c>
      <c r="AC112" s="46">
        <f>IF(AQ112="1",BI112,0)</f>
        <v>0</v>
      </c>
      <c r="AD112" s="46">
        <f>IF(AQ112="7",BH112,0)</f>
        <v>0</v>
      </c>
      <c r="AE112" s="46">
        <f>IF(AQ112="7",BI112,0)</f>
        <v>0</v>
      </c>
      <c r="AF112" s="46">
        <f>IF(AQ112="2",BH112,0)</f>
        <v>0</v>
      </c>
      <c r="AG112" s="46">
        <f>IF(AQ112="2",BI112,0)</f>
        <v>0</v>
      </c>
      <c r="AH112" s="46">
        <f>IF(AQ112="0",BJ112,0)</f>
        <v>0</v>
      </c>
      <c r="AI112" s="1" t="s">
        <v>1864</v>
      </c>
      <c r="AJ112" s="46">
        <f>IF(AN112=0,M112,0)</f>
        <v>0</v>
      </c>
      <c r="AK112" s="46">
        <f>IF(AN112=15,M112,0)</f>
        <v>0</v>
      </c>
      <c r="AL112" s="46">
        <f>IF(AN112=21,M112,0)</f>
        <v>0</v>
      </c>
      <c r="AN112" s="46">
        <v>21</v>
      </c>
      <c r="AO112" s="46">
        <f>J112*0.88329592818211</f>
        <v>0</v>
      </c>
      <c r="AP112" s="46">
        <f>J112*(1-0.88329592818211)</f>
        <v>0</v>
      </c>
      <c r="AQ112" s="42" t="s">
        <v>1648</v>
      </c>
      <c r="AV112" s="46">
        <f>AW112+AX112</f>
        <v>0</v>
      </c>
      <c r="AW112" s="46">
        <f>I112*AO112</f>
        <v>0</v>
      </c>
      <c r="AX112" s="46">
        <f>I112*AP112</f>
        <v>0</v>
      </c>
      <c r="AY112" s="42" t="s">
        <v>648</v>
      </c>
      <c r="AZ112" s="42" t="s">
        <v>998</v>
      </c>
      <c r="BA112" s="1" t="s">
        <v>1521</v>
      </c>
      <c r="BC112" s="46">
        <f>AW112+AX112</f>
        <v>0</v>
      </c>
      <c r="BD112" s="46">
        <f>J112/(100-BE112)*100</f>
        <v>0</v>
      </c>
      <c r="BE112" s="46">
        <v>0</v>
      </c>
      <c r="BF112" s="46">
        <f>112</f>
        <v>112</v>
      </c>
      <c r="BH112" s="46">
        <f>I112*AO112</f>
        <v>0</v>
      </c>
      <c r="BI112" s="46">
        <f>I112*AP112</f>
        <v>0</v>
      </c>
      <c r="BJ112" s="46">
        <f>I112*J112</f>
        <v>0</v>
      </c>
      <c r="BK112" s="46"/>
      <c r="BL112" s="46">
        <v>57</v>
      </c>
    </row>
    <row r="113" spans="1:15" ht="15" customHeight="1">
      <c r="A113" s="10"/>
      <c r="D113" s="32" t="s">
        <v>470</v>
      </c>
      <c r="G113" s="32" t="s">
        <v>1163</v>
      </c>
      <c r="I113" s="58">
        <v>2985.0000000000005</v>
      </c>
      <c r="O113" s="30"/>
    </row>
    <row r="114" spans="1:64" ht="15" customHeight="1">
      <c r="A114" s="52" t="s">
        <v>1630</v>
      </c>
      <c r="B114" s="43" t="s">
        <v>1864</v>
      </c>
      <c r="C114" s="43" t="s">
        <v>789</v>
      </c>
      <c r="D114" s="61" t="s">
        <v>1828</v>
      </c>
      <c r="E114" s="61"/>
      <c r="F114" s="61"/>
      <c r="G114" s="61"/>
      <c r="H114" s="43" t="s">
        <v>1629</v>
      </c>
      <c r="I114" s="46">
        <v>2985</v>
      </c>
      <c r="J114" s="46">
        <v>0</v>
      </c>
      <c r="K114" s="46">
        <f>I114*AO114</f>
        <v>0</v>
      </c>
      <c r="L114" s="46">
        <f>I114*AP114</f>
        <v>0</v>
      </c>
      <c r="M114" s="46">
        <f>I114*J114</f>
        <v>0</v>
      </c>
      <c r="N114" s="46">
        <v>0.10373</v>
      </c>
      <c r="O114" s="6" t="s">
        <v>1149</v>
      </c>
      <c r="Z114" s="46">
        <f>IF(AQ114="5",BJ114,0)</f>
        <v>0</v>
      </c>
      <c r="AB114" s="46">
        <f>IF(AQ114="1",BH114,0)</f>
        <v>0</v>
      </c>
      <c r="AC114" s="46">
        <f>IF(AQ114="1",BI114,0)</f>
        <v>0</v>
      </c>
      <c r="AD114" s="46">
        <f>IF(AQ114="7",BH114,0)</f>
        <v>0</v>
      </c>
      <c r="AE114" s="46">
        <f>IF(AQ114="7",BI114,0)</f>
        <v>0</v>
      </c>
      <c r="AF114" s="46">
        <f>IF(AQ114="2",BH114,0)</f>
        <v>0</v>
      </c>
      <c r="AG114" s="46">
        <f>IF(AQ114="2",BI114,0)</f>
        <v>0</v>
      </c>
      <c r="AH114" s="46">
        <f>IF(AQ114="0",BJ114,0)</f>
        <v>0</v>
      </c>
      <c r="AI114" s="1" t="s">
        <v>1864</v>
      </c>
      <c r="AJ114" s="46">
        <f>IF(AN114=0,M114,0)</f>
        <v>0</v>
      </c>
      <c r="AK114" s="46">
        <f>IF(AN114=15,M114,0)</f>
        <v>0</v>
      </c>
      <c r="AL114" s="46">
        <f>IF(AN114=21,M114,0)</f>
        <v>0</v>
      </c>
      <c r="AN114" s="46">
        <v>21</v>
      </c>
      <c r="AO114" s="46">
        <f>J114*0.751987577639751</f>
        <v>0</v>
      </c>
      <c r="AP114" s="46">
        <f>J114*(1-0.751987577639751)</f>
        <v>0</v>
      </c>
      <c r="AQ114" s="42" t="s">
        <v>1648</v>
      </c>
      <c r="AV114" s="46">
        <f>AW114+AX114</f>
        <v>0</v>
      </c>
      <c r="AW114" s="46">
        <f>I114*AO114</f>
        <v>0</v>
      </c>
      <c r="AX114" s="46">
        <f>I114*AP114</f>
        <v>0</v>
      </c>
      <c r="AY114" s="42" t="s">
        <v>648</v>
      </c>
      <c r="AZ114" s="42" t="s">
        <v>998</v>
      </c>
      <c r="BA114" s="1" t="s">
        <v>1521</v>
      </c>
      <c r="BC114" s="46">
        <f>AW114+AX114</f>
        <v>0</v>
      </c>
      <c r="BD114" s="46">
        <f>J114/(100-BE114)*100</f>
        <v>0</v>
      </c>
      <c r="BE114" s="46">
        <v>0</v>
      </c>
      <c r="BF114" s="46">
        <f>114</f>
        <v>114</v>
      </c>
      <c r="BH114" s="46">
        <f>I114*AO114</f>
        <v>0</v>
      </c>
      <c r="BI114" s="46">
        <f>I114*AP114</f>
        <v>0</v>
      </c>
      <c r="BJ114" s="46">
        <f>I114*J114</f>
        <v>0</v>
      </c>
      <c r="BK114" s="46"/>
      <c r="BL114" s="46">
        <v>57</v>
      </c>
    </row>
    <row r="115" spans="1:15" ht="15" customHeight="1">
      <c r="A115" s="10"/>
      <c r="D115" s="32" t="s">
        <v>470</v>
      </c>
      <c r="G115" s="32" t="s">
        <v>1163</v>
      </c>
      <c r="I115" s="58">
        <v>2985.0000000000005</v>
      </c>
      <c r="O115" s="30"/>
    </row>
    <row r="116" spans="1:64" ht="15" customHeight="1">
      <c r="A116" s="52" t="s">
        <v>296</v>
      </c>
      <c r="B116" s="43" t="s">
        <v>1864</v>
      </c>
      <c r="C116" s="43" t="s">
        <v>1251</v>
      </c>
      <c r="D116" s="61" t="s">
        <v>510</v>
      </c>
      <c r="E116" s="61"/>
      <c r="F116" s="61"/>
      <c r="G116" s="61"/>
      <c r="H116" s="43" t="s">
        <v>1629</v>
      </c>
      <c r="I116" s="46">
        <v>2985</v>
      </c>
      <c r="J116" s="46">
        <v>0</v>
      </c>
      <c r="K116" s="46">
        <f>I116*AO116</f>
        <v>0</v>
      </c>
      <c r="L116" s="46">
        <f>I116*AP116</f>
        <v>0</v>
      </c>
      <c r="M116" s="46">
        <f>I116*J116</f>
        <v>0</v>
      </c>
      <c r="N116" s="46">
        <v>0.0004</v>
      </c>
      <c r="O116" s="6" t="s">
        <v>1149</v>
      </c>
      <c r="Z116" s="46">
        <f>IF(AQ116="5",BJ116,0)</f>
        <v>0</v>
      </c>
      <c r="AB116" s="46">
        <f>IF(AQ116="1",BH116,0)</f>
        <v>0</v>
      </c>
      <c r="AC116" s="46">
        <f>IF(AQ116="1",BI116,0)</f>
        <v>0</v>
      </c>
      <c r="AD116" s="46">
        <f>IF(AQ116="7",BH116,0)</f>
        <v>0</v>
      </c>
      <c r="AE116" s="46">
        <f>IF(AQ116="7",BI116,0)</f>
        <v>0</v>
      </c>
      <c r="AF116" s="46">
        <f>IF(AQ116="2",BH116,0)</f>
        <v>0</v>
      </c>
      <c r="AG116" s="46">
        <f>IF(AQ116="2",BI116,0)</f>
        <v>0</v>
      </c>
      <c r="AH116" s="46">
        <f>IF(AQ116="0",BJ116,0)</f>
        <v>0</v>
      </c>
      <c r="AI116" s="1" t="s">
        <v>1864</v>
      </c>
      <c r="AJ116" s="46">
        <f>IF(AN116=0,M116,0)</f>
        <v>0</v>
      </c>
      <c r="AK116" s="46">
        <f>IF(AN116=15,M116,0)</f>
        <v>0</v>
      </c>
      <c r="AL116" s="46">
        <f>IF(AN116=21,M116,0)</f>
        <v>0</v>
      </c>
      <c r="AN116" s="46">
        <v>21</v>
      </c>
      <c r="AO116" s="46">
        <f>J116*0.886885245901639</f>
        <v>0</v>
      </c>
      <c r="AP116" s="46">
        <f>J116*(1-0.886885245901639)</f>
        <v>0</v>
      </c>
      <c r="AQ116" s="42" t="s">
        <v>1648</v>
      </c>
      <c r="AV116" s="46">
        <f>AW116+AX116</f>
        <v>0</v>
      </c>
      <c r="AW116" s="46">
        <f>I116*AO116</f>
        <v>0</v>
      </c>
      <c r="AX116" s="46">
        <f>I116*AP116</f>
        <v>0</v>
      </c>
      <c r="AY116" s="42" t="s">
        <v>648</v>
      </c>
      <c r="AZ116" s="42" t="s">
        <v>998</v>
      </c>
      <c r="BA116" s="1" t="s">
        <v>1521</v>
      </c>
      <c r="BC116" s="46">
        <f>AW116+AX116</f>
        <v>0</v>
      </c>
      <c r="BD116" s="46">
        <f>J116/(100-BE116)*100</f>
        <v>0</v>
      </c>
      <c r="BE116" s="46">
        <v>0</v>
      </c>
      <c r="BF116" s="46">
        <f>116</f>
        <v>116</v>
      </c>
      <c r="BH116" s="46">
        <f>I116*AO116</f>
        <v>0</v>
      </c>
      <c r="BI116" s="46">
        <f>I116*AP116</f>
        <v>0</v>
      </c>
      <c r="BJ116" s="46">
        <f>I116*J116</f>
        <v>0</v>
      </c>
      <c r="BK116" s="46"/>
      <c r="BL116" s="46">
        <v>57</v>
      </c>
    </row>
    <row r="117" spans="1:15" ht="15" customHeight="1">
      <c r="A117" s="10"/>
      <c r="D117" s="32" t="s">
        <v>470</v>
      </c>
      <c r="G117" s="32" t="s">
        <v>1163</v>
      </c>
      <c r="I117" s="58">
        <v>2985.0000000000005</v>
      </c>
      <c r="O117" s="30"/>
    </row>
    <row r="118" spans="1:47" ht="15" customHeight="1">
      <c r="A118" s="3" t="s">
        <v>1163</v>
      </c>
      <c r="B118" s="9" t="s">
        <v>1864</v>
      </c>
      <c r="C118" s="9" t="s">
        <v>583</v>
      </c>
      <c r="D118" s="64" t="s">
        <v>856</v>
      </c>
      <c r="E118" s="64"/>
      <c r="F118" s="64"/>
      <c r="G118" s="64"/>
      <c r="H118" s="41" t="s">
        <v>1537</v>
      </c>
      <c r="I118" s="41" t="s">
        <v>1537</v>
      </c>
      <c r="J118" s="41" t="s">
        <v>1537</v>
      </c>
      <c r="K118" s="50">
        <f>SUM(K119:K120)</f>
        <v>0</v>
      </c>
      <c r="L118" s="50">
        <f>SUM(L119:L120)</f>
        <v>0</v>
      </c>
      <c r="M118" s="50">
        <f>SUM(M119:M120)</f>
        <v>0</v>
      </c>
      <c r="N118" s="1" t="s">
        <v>1163</v>
      </c>
      <c r="O118" s="45" t="s">
        <v>1163</v>
      </c>
      <c r="AI118" s="1" t="s">
        <v>1864</v>
      </c>
      <c r="AS118" s="50">
        <f>SUM(AJ119:AJ120)</f>
        <v>0</v>
      </c>
      <c r="AT118" s="50">
        <f>SUM(AK119:AK120)</f>
        <v>0</v>
      </c>
      <c r="AU118" s="50">
        <f>SUM(AL119:AL120)</f>
        <v>0</v>
      </c>
    </row>
    <row r="119" spans="1:64" ht="15" customHeight="1">
      <c r="A119" s="52" t="s">
        <v>538</v>
      </c>
      <c r="B119" s="43" t="s">
        <v>1864</v>
      </c>
      <c r="C119" s="43" t="s">
        <v>461</v>
      </c>
      <c r="D119" s="61" t="s">
        <v>803</v>
      </c>
      <c r="E119" s="61"/>
      <c r="F119" s="61"/>
      <c r="G119" s="61"/>
      <c r="H119" s="43" t="s">
        <v>749</v>
      </c>
      <c r="I119" s="46">
        <v>6197.109</v>
      </c>
      <c r="J119" s="46">
        <v>0</v>
      </c>
      <c r="K119" s="46">
        <f>I119*AO119</f>
        <v>0</v>
      </c>
      <c r="L119" s="46">
        <f>I119*AP119</f>
        <v>0</v>
      </c>
      <c r="M119" s="46">
        <f>I119*J119</f>
        <v>0</v>
      </c>
      <c r="N119" s="46">
        <v>0</v>
      </c>
      <c r="O119" s="6" t="s">
        <v>1149</v>
      </c>
      <c r="Z119" s="46">
        <f>IF(AQ119="5",BJ119,0)</f>
        <v>0</v>
      </c>
      <c r="AB119" s="46">
        <f>IF(AQ119="1",BH119,0)</f>
        <v>0</v>
      </c>
      <c r="AC119" s="46">
        <f>IF(AQ119="1",BI119,0)</f>
        <v>0</v>
      </c>
      <c r="AD119" s="46">
        <f>IF(AQ119="7",BH119,0)</f>
        <v>0</v>
      </c>
      <c r="AE119" s="46">
        <f>IF(AQ119="7",BI119,0)</f>
        <v>0</v>
      </c>
      <c r="AF119" s="46">
        <f>IF(AQ119="2",BH119,0)</f>
        <v>0</v>
      </c>
      <c r="AG119" s="46">
        <f>IF(AQ119="2",BI119,0)</f>
        <v>0</v>
      </c>
      <c r="AH119" s="46">
        <f>IF(AQ119="0",BJ119,0)</f>
        <v>0</v>
      </c>
      <c r="AI119" s="1" t="s">
        <v>1864</v>
      </c>
      <c r="AJ119" s="46">
        <f>IF(AN119=0,M119,0)</f>
        <v>0</v>
      </c>
      <c r="AK119" s="46">
        <f>IF(AN119=15,M119,0)</f>
        <v>0</v>
      </c>
      <c r="AL119" s="46">
        <f>IF(AN119=21,M119,0)</f>
        <v>0</v>
      </c>
      <c r="AN119" s="46">
        <v>21</v>
      </c>
      <c r="AO119" s="46">
        <f>J119*0</f>
        <v>0</v>
      </c>
      <c r="AP119" s="46">
        <f>J119*(1-0)</f>
        <v>0</v>
      </c>
      <c r="AQ119" s="42" t="s">
        <v>880</v>
      </c>
      <c r="AV119" s="46">
        <f>AW119+AX119</f>
        <v>0</v>
      </c>
      <c r="AW119" s="46">
        <f>I119*AO119</f>
        <v>0</v>
      </c>
      <c r="AX119" s="46">
        <f>I119*AP119</f>
        <v>0</v>
      </c>
      <c r="AY119" s="42" t="s">
        <v>528</v>
      </c>
      <c r="AZ119" s="42" t="s">
        <v>735</v>
      </c>
      <c r="BA119" s="1" t="s">
        <v>1521</v>
      </c>
      <c r="BC119" s="46">
        <f>AW119+AX119</f>
        <v>0</v>
      </c>
      <c r="BD119" s="46">
        <f>J119/(100-BE119)*100</f>
        <v>0</v>
      </c>
      <c r="BE119" s="46">
        <v>0</v>
      </c>
      <c r="BF119" s="46">
        <f>119</f>
        <v>119</v>
      </c>
      <c r="BH119" s="46">
        <f>I119*AO119</f>
        <v>0</v>
      </c>
      <c r="BI119" s="46">
        <f>I119*AP119</f>
        <v>0</v>
      </c>
      <c r="BJ119" s="46">
        <f>I119*J119</f>
        <v>0</v>
      </c>
      <c r="BK119" s="46"/>
      <c r="BL119" s="46"/>
    </row>
    <row r="120" spans="1:64" ht="15" customHeight="1">
      <c r="A120" s="52" t="s">
        <v>707</v>
      </c>
      <c r="B120" s="43" t="s">
        <v>1864</v>
      </c>
      <c r="C120" s="43" t="s">
        <v>1119</v>
      </c>
      <c r="D120" s="61" t="s">
        <v>827</v>
      </c>
      <c r="E120" s="61"/>
      <c r="F120" s="61"/>
      <c r="G120" s="61"/>
      <c r="H120" s="43" t="s">
        <v>1629</v>
      </c>
      <c r="I120" s="46">
        <v>2374</v>
      </c>
      <c r="J120" s="46">
        <v>0</v>
      </c>
      <c r="K120" s="46">
        <f>I120*AO120</f>
        <v>0</v>
      </c>
      <c r="L120" s="46">
        <f>I120*AP120</f>
        <v>0</v>
      </c>
      <c r="M120" s="46">
        <f>I120*J120</f>
        <v>0</v>
      </c>
      <c r="N120" s="46">
        <v>0.0003</v>
      </c>
      <c r="O120" s="6" t="s">
        <v>1149</v>
      </c>
      <c r="Z120" s="46">
        <f>IF(AQ120="5",BJ120,0)</f>
        <v>0</v>
      </c>
      <c r="AB120" s="46">
        <f>IF(AQ120="1",BH120,0)</f>
        <v>0</v>
      </c>
      <c r="AC120" s="46">
        <f>IF(AQ120="1",BI120,0)</f>
        <v>0</v>
      </c>
      <c r="AD120" s="46">
        <f>IF(AQ120="7",BH120,0)</f>
        <v>0</v>
      </c>
      <c r="AE120" s="46">
        <f>IF(AQ120="7",BI120,0)</f>
        <v>0</v>
      </c>
      <c r="AF120" s="46">
        <f>IF(AQ120="2",BH120,0)</f>
        <v>0</v>
      </c>
      <c r="AG120" s="46">
        <f>IF(AQ120="2",BI120,0)</f>
        <v>0</v>
      </c>
      <c r="AH120" s="46">
        <f>IF(AQ120="0",BJ120,0)</f>
        <v>0</v>
      </c>
      <c r="AI120" s="1" t="s">
        <v>1864</v>
      </c>
      <c r="AJ120" s="46">
        <f>IF(AN120=0,M120,0)</f>
        <v>0</v>
      </c>
      <c r="AK120" s="46">
        <f>IF(AN120=15,M120,0)</f>
        <v>0</v>
      </c>
      <c r="AL120" s="46">
        <f>IF(AN120=21,M120,0)</f>
        <v>0</v>
      </c>
      <c r="AN120" s="46">
        <v>21</v>
      </c>
      <c r="AO120" s="46">
        <f>J120*1</f>
        <v>0</v>
      </c>
      <c r="AP120" s="46">
        <f>J120*(1-1)</f>
        <v>0</v>
      </c>
      <c r="AQ120" s="42" t="s">
        <v>1648</v>
      </c>
      <c r="AV120" s="46">
        <f>AW120+AX120</f>
        <v>0</v>
      </c>
      <c r="AW120" s="46">
        <f>I120*AO120</f>
        <v>0</v>
      </c>
      <c r="AX120" s="46">
        <f>I120*AP120</f>
        <v>0</v>
      </c>
      <c r="AY120" s="42" t="s">
        <v>528</v>
      </c>
      <c r="AZ120" s="42" t="s">
        <v>735</v>
      </c>
      <c r="BA120" s="1" t="s">
        <v>1521</v>
      </c>
      <c r="BC120" s="46">
        <f>AW120+AX120</f>
        <v>0</v>
      </c>
      <c r="BD120" s="46">
        <f>J120/(100-BE120)*100</f>
        <v>0</v>
      </c>
      <c r="BE120" s="46">
        <v>0</v>
      </c>
      <c r="BF120" s="46">
        <f>120</f>
        <v>120</v>
      </c>
      <c r="BH120" s="46">
        <f>I120*AO120</f>
        <v>0</v>
      </c>
      <c r="BI120" s="46">
        <f>I120*AP120</f>
        <v>0</v>
      </c>
      <c r="BJ120" s="46">
        <f>I120*J120</f>
        <v>0</v>
      </c>
      <c r="BK120" s="46"/>
      <c r="BL120" s="46"/>
    </row>
    <row r="121" spans="1:15" ht="15" customHeight="1">
      <c r="A121" s="10"/>
      <c r="D121" s="32" t="s">
        <v>1555</v>
      </c>
      <c r="G121" s="32" t="s">
        <v>1163</v>
      </c>
      <c r="I121" s="58">
        <v>2374</v>
      </c>
      <c r="O121" s="30"/>
    </row>
    <row r="122" spans="1:15" ht="15" customHeight="1">
      <c r="A122" s="3" t="s">
        <v>1163</v>
      </c>
      <c r="B122" s="9" t="s">
        <v>141</v>
      </c>
      <c r="C122" s="9" t="s">
        <v>1163</v>
      </c>
      <c r="D122" s="64" t="s">
        <v>1295</v>
      </c>
      <c r="E122" s="64"/>
      <c r="F122" s="64"/>
      <c r="G122" s="64"/>
      <c r="H122" s="41" t="s">
        <v>1537</v>
      </c>
      <c r="I122" s="41" t="s">
        <v>1537</v>
      </c>
      <c r="J122" s="41" t="s">
        <v>1537</v>
      </c>
      <c r="K122" s="50">
        <f>K123+K144+K147+K159+K163+K173+K180+K190+K195+K198+K204+K215+K218+K237+K292+K295+K301+K306</f>
        <v>0</v>
      </c>
      <c r="L122" s="50">
        <f>L123+L144+L147+L159+L163+L173+L180+L190+L195+L198+L204+L215+L218+L237+L292+L295+L301+L306</f>
        <v>0</v>
      </c>
      <c r="M122" s="50">
        <f>M123+M144+M147+M159+M163+M173+M180+M190+M195+M198+M204+M215+M218+M237+M292+M295+M301+M306</f>
        <v>0</v>
      </c>
      <c r="N122" s="1" t="s">
        <v>1163</v>
      </c>
      <c r="O122" s="45" t="s">
        <v>1163</v>
      </c>
    </row>
    <row r="123" spans="1:47" ht="15" customHeight="1">
      <c r="A123" s="3" t="s">
        <v>1163</v>
      </c>
      <c r="B123" s="9" t="s">
        <v>141</v>
      </c>
      <c r="C123" s="9" t="s">
        <v>1385</v>
      </c>
      <c r="D123" s="64" t="s">
        <v>909</v>
      </c>
      <c r="E123" s="64"/>
      <c r="F123" s="64"/>
      <c r="G123" s="64"/>
      <c r="H123" s="41" t="s">
        <v>1537</v>
      </c>
      <c r="I123" s="41" t="s">
        <v>1537</v>
      </c>
      <c r="J123" s="41" t="s">
        <v>1537</v>
      </c>
      <c r="K123" s="50">
        <f>SUM(K124:K140)</f>
        <v>0</v>
      </c>
      <c r="L123" s="50">
        <f>SUM(L124:L140)</f>
        <v>0</v>
      </c>
      <c r="M123" s="50">
        <f>SUM(M124:M140)</f>
        <v>0</v>
      </c>
      <c r="N123" s="1" t="s">
        <v>1163</v>
      </c>
      <c r="O123" s="45" t="s">
        <v>1163</v>
      </c>
      <c r="AI123" s="1" t="s">
        <v>141</v>
      </c>
      <c r="AS123" s="50">
        <f>SUM(AJ124:AJ140)</f>
        <v>0</v>
      </c>
      <c r="AT123" s="50">
        <f>SUM(AK124:AK140)</f>
        <v>0</v>
      </c>
      <c r="AU123" s="50">
        <f>SUM(AL124:AL140)</f>
        <v>0</v>
      </c>
    </row>
    <row r="124" spans="1:64" ht="15" customHeight="1">
      <c r="A124" s="52" t="s">
        <v>572</v>
      </c>
      <c r="B124" s="43" t="s">
        <v>141</v>
      </c>
      <c r="C124" s="43" t="s">
        <v>783</v>
      </c>
      <c r="D124" s="61" t="s">
        <v>1013</v>
      </c>
      <c r="E124" s="61"/>
      <c r="F124" s="61"/>
      <c r="G124" s="61"/>
      <c r="H124" s="43" t="s">
        <v>717</v>
      </c>
      <c r="I124" s="46">
        <v>75</v>
      </c>
      <c r="J124" s="46">
        <v>0</v>
      </c>
      <c r="K124" s="46">
        <f>I124*AO124</f>
        <v>0</v>
      </c>
      <c r="L124" s="46">
        <f>I124*AP124</f>
        <v>0</v>
      </c>
      <c r="M124" s="46">
        <f>I124*J124</f>
        <v>0</v>
      </c>
      <c r="N124" s="46">
        <v>0</v>
      </c>
      <c r="O124" s="6" t="s">
        <v>1149</v>
      </c>
      <c r="Z124" s="46">
        <f>IF(AQ124="5",BJ124,0)</f>
        <v>0</v>
      </c>
      <c r="AB124" s="46">
        <f>IF(AQ124="1",BH124,0)</f>
        <v>0</v>
      </c>
      <c r="AC124" s="46">
        <f>IF(AQ124="1",BI124,0)</f>
        <v>0</v>
      </c>
      <c r="AD124" s="46">
        <f>IF(AQ124="7",BH124,0)</f>
        <v>0</v>
      </c>
      <c r="AE124" s="46">
        <f>IF(AQ124="7",BI124,0)</f>
        <v>0</v>
      </c>
      <c r="AF124" s="46">
        <f>IF(AQ124="2",BH124,0)</f>
        <v>0</v>
      </c>
      <c r="AG124" s="46">
        <f>IF(AQ124="2",BI124,0)</f>
        <v>0</v>
      </c>
      <c r="AH124" s="46">
        <f>IF(AQ124="0",BJ124,0)</f>
        <v>0</v>
      </c>
      <c r="AI124" s="1" t="s">
        <v>141</v>
      </c>
      <c r="AJ124" s="46">
        <f>IF(AN124=0,M124,0)</f>
        <v>0</v>
      </c>
      <c r="AK124" s="46">
        <f>IF(AN124=15,M124,0)</f>
        <v>0</v>
      </c>
      <c r="AL124" s="46">
        <f>IF(AN124=21,M124,0)</f>
        <v>0</v>
      </c>
      <c r="AN124" s="46">
        <v>21</v>
      </c>
      <c r="AO124" s="46">
        <f>J124*0</f>
        <v>0</v>
      </c>
      <c r="AP124" s="46">
        <f>J124*(1-0)</f>
        <v>0</v>
      </c>
      <c r="AQ124" s="42" t="s">
        <v>1648</v>
      </c>
      <c r="AV124" s="46">
        <f>AW124+AX124</f>
        <v>0</v>
      </c>
      <c r="AW124" s="46">
        <f>I124*AO124</f>
        <v>0</v>
      </c>
      <c r="AX124" s="46">
        <f>I124*AP124</f>
        <v>0</v>
      </c>
      <c r="AY124" s="42" t="s">
        <v>179</v>
      </c>
      <c r="AZ124" s="42" t="s">
        <v>728</v>
      </c>
      <c r="BA124" s="1" t="s">
        <v>1154</v>
      </c>
      <c r="BC124" s="46">
        <f>AW124+AX124</f>
        <v>0</v>
      </c>
      <c r="BD124" s="46">
        <f>J124/(100-BE124)*100</f>
        <v>0</v>
      </c>
      <c r="BE124" s="46">
        <v>0</v>
      </c>
      <c r="BF124" s="46">
        <f>124</f>
        <v>124</v>
      </c>
      <c r="BH124" s="46">
        <f>I124*AO124</f>
        <v>0</v>
      </c>
      <c r="BI124" s="46">
        <f>I124*AP124</f>
        <v>0</v>
      </c>
      <c r="BJ124" s="46">
        <f>I124*J124</f>
        <v>0</v>
      </c>
      <c r="BK124" s="46"/>
      <c r="BL124" s="46">
        <v>11</v>
      </c>
    </row>
    <row r="125" spans="1:15" ht="15" customHeight="1">
      <c r="A125" s="10"/>
      <c r="D125" s="32" t="s">
        <v>1530</v>
      </c>
      <c r="G125" s="32" t="s">
        <v>800</v>
      </c>
      <c r="I125" s="58">
        <v>75</v>
      </c>
      <c r="O125" s="30"/>
    </row>
    <row r="126" spans="1:64" ht="15" customHeight="1">
      <c r="A126" s="52" t="s">
        <v>1337</v>
      </c>
      <c r="B126" s="43" t="s">
        <v>141</v>
      </c>
      <c r="C126" s="43" t="s">
        <v>338</v>
      </c>
      <c r="D126" s="61" t="s">
        <v>1505</v>
      </c>
      <c r="E126" s="61"/>
      <c r="F126" s="61"/>
      <c r="G126" s="61"/>
      <c r="H126" s="43" t="s">
        <v>1365</v>
      </c>
      <c r="I126" s="46">
        <v>30</v>
      </c>
      <c r="J126" s="46">
        <v>0</v>
      </c>
      <c r="K126" s="46">
        <f>I126*AO126</f>
        <v>0</v>
      </c>
      <c r="L126" s="46">
        <f>I126*AP126</f>
        <v>0</v>
      </c>
      <c r="M126" s="46">
        <f>I126*J126</f>
        <v>0</v>
      </c>
      <c r="N126" s="46">
        <v>0.01572</v>
      </c>
      <c r="O126" s="6" t="s">
        <v>1149</v>
      </c>
      <c r="Z126" s="46">
        <f>IF(AQ126="5",BJ126,0)</f>
        <v>0</v>
      </c>
      <c r="AB126" s="46">
        <f>IF(AQ126="1",BH126,0)</f>
        <v>0</v>
      </c>
      <c r="AC126" s="46">
        <f>IF(AQ126="1",BI126,0)</f>
        <v>0</v>
      </c>
      <c r="AD126" s="46">
        <f>IF(AQ126="7",BH126,0)</f>
        <v>0</v>
      </c>
      <c r="AE126" s="46">
        <f>IF(AQ126="7",BI126,0)</f>
        <v>0</v>
      </c>
      <c r="AF126" s="46">
        <f>IF(AQ126="2",BH126,0)</f>
        <v>0</v>
      </c>
      <c r="AG126" s="46">
        <f>IF(AQ126="2",BI126,0)</f>
        <v>0</v>
      </c>
      <c r="AH126" s="46">
        <f>IF(AQ126="0",BJ126,0)</f>
        <v>0</v>
      </c>
      <c r="AI126" s="1" t="s">
        <v>141</v>
      </c>
      <c r="AJ126" s="46">
        <f>IF(AN126=0,M126,0)</f>
        <v>0</v>
      </c>
      <c r="AK126" s="46">
        <f>IF(AN126=15,M126,0)</f>
        <v>0</v>
      </c>
      <c r="AL126" s="46">
        <f>IF(AN126=21,M126,0)</f>
        <v>0</v>
      </c>
      <c r="AN126" s="46">
        <v>21</v>
      </c>
      <c r="AO126" s="46">
        <f>J126*0.566026200873363</f>
        <v>0</v>
      </c>
      <c r="AP126" s="46">
        <f>J126*(1-0.566026200873363)</f>
        <v>0</v>
      </c>
      <c r="AQ126" s="42" t="s">
        <v>1648</v>
      </c>
      <c r="AV126" s="46">
        <f>AW126+AX126</f>
        <v>0</v>
      </c>
      <c r="AW126" s="46">
        <f>I126*AO126</f>
        <v>0</v>
      </c>
      <c r="AX126" s="46">
        <f>I126*AP126</f>
        <v>0</v>
      </c>
      <c r="AY126" s="42" t="s">
        <v>179</v>
      </c>
      <c r="AZ126" s="42" t="s">
        <v>728</v>
      </c>
      <c r="BA126" s="1" t="s">
        <v>1154</v>
      </c>
      <c r="BC126" s="46">
        <f>AW126+AX126</f>
        <v>0</v>
      </c>
      <c r="BD126" s="46">
        <f>J126/(100-BE126)*100</f>
        <v>0</v>
      </c>
      <c r="BE126" s="46">
        <v>0</v>
      </c>
      <c r="BF126" s="46">
        <f>126</f>
        <v>126</v>
      </c>
      <c r="BH126" s="46">
        <f>I126*AO126</f>
        <v>0</v>
      </c>
      <c r="BI126" s="46">
        <f>I126*AP126</f>
        <v>0</v>
      </c>
      <c r="BJ126" s="46">
        <f>I126*J126</f>
        <v>0</v>
      </c>
      <c r="BK126" s="46"/>
      <c r="BL126" s="46">
        <v>11</v>
      </c>
    </row>
    <row r="127" spans="1:15" ht="15" customHeight="1">
      <c r="A127" s="10"/>
      <c r="D127" s="32" t="s">
        <v>253</v>
      </c>
      <c r="G127" s="32" t="s">
        <v>1163</v>
      </c>
      <c r="I127" s="58">
        <v>30.000000000000004</v>
      </c>
      <c r="O127" s="30"/>
    </row>
    <row r="128" spans="1:64" ht="15" customHeight="1">
      <c r="A128" s="52" t="s">
        <v>1698</v>
      </c>
      <c r="B128" s="43" t="s">
        <v>141</v>
      </c>
      <c r="C128" s="43" t="s">
        <v>1607</v>
      </c>
      <c r="D128" s="61" t="s">
        <v>582</v>
      </c>
      <c r="E128" s="61"/>
      <c r="F128" s="61"/>
      <c r="G128" s="61"/>
      <c r="H128" s="43" t="s">
        <v>92</v>
      </c>
      <c r="I128" s="46">
        <v>75</v>
      </c>
      <c r="J128" s="46">
        <v>0</v>
      </c>
      <c r="K128" s="46">
        <f>I128*AO128</f>
        <v>0</v>
      </c>
      <c r="L128" s="46">
        <f>I128*AP128</f>
        <v>0</v>
      </c>
      <c r="M128" s="46">
        <f>I128*J128</f>
        <v>0</v>
      </c>
      <c r="N128" s="46">
        <v>0</v>
      </c>
      <c r="O128" s="6" t="s">
        <v>1149</v>
      </c>
      <c r="Z128" s="46">
        <f>IF(AQ128="5",BJ128,0)</f>
        <v>0</v>
      </c>
      <c r="AB128" s="46">
        <f>IF(AQ128="1",BH128,0)</f>
        <v>0</v>
      </c>
      <c r="AC128" s="46">
        <f>IF(AQ128="1",BI128,0)</f>
        <v>0</v>
      </c>
      <c r="AD128" s="46">
        <f>IF(AQ128="7",BH128,0)</f>
        <v>0</v>
      </c>
      <c r="AE128" s="46">
        <f>IF(AQ128="7",BI128,0)</f>
        <v>0</v>
      </c>
      <c r="AF128" s="46">
        <f>IF(AQ128="2",BH128,0)</f>
        <v>0</v>
      </c>
      <c r="AG128" s="46">
        <f>IF(AQ128="2",BI128,0)</f>
        <v>0</v>
      </c>
      <c r="AH128" s="46">
        <f>IF(AQ128="0",BJ128,0)</f>
        <v>0</v>
      </c>
      <c r="AI128" s="1" t="s">
        <v>141</v>
      </c>
      <c r="AJ128" s="46">
        <f>IF(AN128=0,M128,0)</f>
        <v>0</v>
      </c>
      <c r="AK128" s="46">
        <f>IF(AN128=15,M128,0)</f>
        <v>0</v>
      </c>
      <c r="AL128" s="46">
        <f>IF(AN128=21,M128,0)</f>
        <v>0</v>
      </c>
      <c r="AN128" s="46">
        <v>21</v>
      </c>
      <c r="AO128" s="46">
        <f>J128*0</f>
        <v>0</v>
      </c>
      <c r="AP128" s="46">
        <f>J128*(1-0)</f>
        <v>0</v>
      </c>
      <c r="AQ128" s="42" t="s">
        <v>1648</v>
      </c>
      <c r="AV128" s="46">
        <f>AW128+AX128</f>
        <v>0</v>
      </c>
      <c r="AW128" s="46">
        <f>I128*AO128</f>
        <v>0</v>
      </c>
      <c r="AX128" s="46">
        <f>I128*AP128</f>
        <v>0</v>
      </c>
      <c r="AY128" s="42" t="s">
        <v>179</v>
      </c>
      <c r="AZ128" s="42" t="s">
        <v>728</v>
      </c>
      <c r="BA128" s="1" t="s">
        <v>1154</v>
      </c>
      <c r="BC128" s="46">
        <f>AW128+AX128</f>
        <v>0</v>
      </c>
      <c r="BD128" s="46">
        <f>J128/(100-BE128)*100</f>
        <v>0</v>
      </c>
      <c r="BE128" s="46">
        <v>0</v>
      </c>
      <c r="BF128" s="46">
        <f>128</f>
        <v>128</v>
      </c>
      <c r="BH128" s="46">
        <f>I128*AO128</f>
        <v>0</v>
      </c>
      <c r="BI128" s="46">
        <f>I128*AP128</f>
        <v>0</v>
      </c>
      <c r="BJ128" s="46">
        <f>I128*J128</f>
        <v>0</v>
      </c>
      <c r="BK128" s="46"/>
      <c r="BL128" s="46">
        <v>11</v>
      </c>
    </row>
    <row r="129" spans="1:15" ht="15" customHeight="1">
      <c r="A129" s="10"/>
      <c r="D129" s="32" t="s">
        <v>1530</v>
      </c>
      <c r="G129" s="32" t="s">
        <v>800</v>
      </c>
      <c r="I129" s="58">
        <v>75</v>
      </c>
      <c r="O129" s="30"/>
    </row>
    <row r="130" spans="1:64" ht="15" customHeight="1">
      <c r="A130" s="52" t="s">
        <v>122</v>
      </c>
      <c r="B130" s="43" t="s">
        <v>141</v>
      </c>
      <c r="C130" s="43" t="s">
        <v>1222</v>
      </c>
      <c r="D130" s="61" t="s">
        <v>1055</v>
      </c>
      <c r="E130" s="61"/>
      <c r="F130" s="61"/>
      <c r="G130" s="61"/>
      <c r="H130" s="43" t="s">
        <v>1365</v>
      </c>
      <c r="I130" s="46">
        <v>14</v>
      </c>
      <c r="J130" s="46">
        <v>0</v>
      </c>
      <c r="K130" s="46">
        <f>I130*AO130</f>
        <v>0</v>
      </c>
      <c r="L130" s="46">
        <f>I130*AP130</f>
        <v>0</v>
      </c>
      <c r="M130" s="46">
        <f>I130*J130</f>
        <v>0</v>
      </c>
      <c r="N130" s="46">
        <v>0.02478</v>
      </c>
      <c r="O130" s="6" t="s">
        <v>1149</v>
      </c>
      <c r="Z130" s="46">
        <f>IF(AQ130="5",BJ130,0)</f>
        <v>0</v>
      </c>
      <c r="AB130" s="46">
        <f>IF(AQ130="1",BH130,0)</f>
        <v>0</v>
      </c>
      <c r="AC130" s="46">
        <f>IF(AQ130="1",BI130,0)</f>
        <v>0</v>
      </c>
      <c r="AD130" s="46">
        <f>IF(AQ130="7",BH130,0)</f>
        <v>0</v>
      </c>
      <c r="AE130" s="46">
        <f>IF(AQ130="7",BI130,0)</f>
        <v>0</v>
      </c>
      <c r="AF130" s="46">
        <f>IF(AQ130="2",BH130,0)</f>
        <v>0</v>
      </c>
      <c r="AG130" s="46">
        <f>IF(AQ130="2",BI130,0)</f>
        <v>0</v>
      </c>
      <c r="AH130" s="46">
        <f>IF(AQ130="0",BJ130,0)</f>
        <v>0</v>
      </c>
      <c r="AI130" s="1" t="s">
        <v>141</v>
      </c>
      <c r="AJ130" s="46">
        <f>IF(AN130=0,M130,0)</f>
        <v>0</v>
      </c>
      <c r="AK130" s="46">
        <f>IF(AN130=15,M130,0)</f>
        <v>0</v>
      </c>
      <c r="AL130" s="46">
        <f>IF(AN130=21,M130,0)</f>
        <v>0</v>
      </c>
      <c r="AN130" s="46">
        <v>21</v>
      </c>
      <c r="AO130" s="46">
        <f>J130*0.352956636005256</f>
        <v>0</v>
      </c>
      <c r="AP130" s="46">
        <f>J130*(1-0.352956636005256)</f>
        <v>0</v>
      </c>
      <c r="AQ130" s="42" t="s">
        <v>1648</v>
      </c>
      <c r="AV130" s="46">
        <f>AW130+AX130</f>
        <v>0</v>
      </c>
      <c r="AW130" s="46">
        <f>I130*AO130</f>
        <v>0</v>
      </c>
      <c r="AX130" s="46">
        <f>I130*AP130</f>
        <v>0</v>
      </c>
      <c r="AY130" s="42" t="s">
        <v>179</v>
      </c>
      <c r="AZ130" s="42" t="s">
        <v>728</v>
      </c>
      <c r="BA130" s="1" t="s">
        <v>1154</v>
      </c>
      <c r="BC130" s="46">
        <f>AW130+AX130</f>
        <v>0</v>
      </c>
      <c r="BD130" s="46">
        <f>J130/(100-BE130)*100</f>
        <v>0</v>
      </c>
      <c r="BE130" s="46">
        <v>0</v>
      </c>
      <c r="BF130" s="46">
        <f>130</f>
        <v>130</v>
      </c>
      <c r="BH130" s="46">
        <f>I130*AO130</f>
        <v>0</v>
      </c>
      <c r="BI130" s="46">
        <f>I130*AP130</f>
        <v>0</v>
      </c>
      <c r="BJ130" s="46">
        <f>I130*J130</f>
        <v>0</v>
      </c>
      <c r="BK130" s="46"/>
      <c r="BL130" s="46">
        <v>11</v>
      </c>
    </row>
    <row r="131" spans="1:15" ht="15" customHeight="1">
      <c r="A131" s="10"/>
      <c r="D131" s="32" t="s">
        <v>1477</v>
      </c>
      <c r="G131" s="32" t="s">
        <v>1163</v>
      </c>
      <c r="I131" s="58">
        <v>14.000000000000002</v>
      </c>
      <c r="O131" s="30"/>
    </row>
    <row r="132" spans="1:64" ht="15" customHeight="1">
      <c r="A132" s="52" t="s">
        <v>1304</v>
      </c>
      <c r="B132" s="43" t="s">
        <v>141</v>
      </c>
      <c r="C132" s="43" t="s">
        <v>1393</v>
      </c>
      <c r="D132" s="61" t="s">
        <v>1564</v>
      </c>
      <c r="E132" s="61"/>
      <c r="F132" s="61"/>
      <c r="G132" s="61"/>
      <c r="H132" s="43" t="s">
        <v>1365</v>
      </c>
      <c r="I132" s="46">
        <v>29</v>
      </c>
      <c r="J132" s="46">
        <v>0</v>
      </c>
      <c r="K132" s="46">
        <f>I132*AO132</f>
        <v>0</v>
      </c>
      <c r="L132" s="46">
        <f>I132*AP132</f>
        <v>0</v>
      </c>
      <c r="M132" s="46">
        <f>I132*J132</f>
        <v>0</v>
      </c>
      <c r="N132" s="46">
        <v>0.00869</v>
      </c>
      <c r="O132" s="6" t="s">
        <v>1149</v>
      </c>
      <c r="Z132" s="46">
        <f>IF(AQ132="5",BJ132,0)</f>
        <v>0</v>
      </c>
      <c r="AB132" s="46">
        <f>IF(AQ132="1",BH132,0)</f>
        <v>0</v>
      </c>
      <c r="AC132" s="46">
        <f>IF(AQ132="1",BI132,0)</f>
        <v>0</v>
      </c>
      <c r="AD132" s="46">
        <f>IF(AQ132="7",BH132,0)</f>
        <v>0</v>
      </c>
      <c r="AE132" s="46">
        <f>IF(AQ132="7",BI132,0)</f>
        <v>0</v>
      </c>
      <c r="AF132" s="46">
        <f>IF(AQ132="2",BH132,0)</f>
        <v>0</v>
      </c>
      <c r="AG132" s="46">
        <f>IF(AQ132="2",BI132,0)</f>
        <v>0</v>
      </c>
      <c r="AH132" s="46">
        <f>IF(AQ132="0",BJ132,0)</f>
        <v>0</v>
      </c>
      <c r="AI132" s="1" t="s">
        <v>141</v>
      </c>
      <c r="AJ132" s="46">
        <f>IF(AN132=0,M132,0)</f>
        <v>0</v>
      </c>
      <c r="AK132" s="46">
        <f>IF(AN132=15,M132,0)</f>
        <v>0</v>
      </c>
      <c r="AL132" s="46">
        <f>IF(AN132=21,M132,0)</f>
        <v>0</v>
      </c>
      <c r="AN132" s="46">
        <v>21</v>
      </c>
      <c r="AO132" s="46">
        <f>J132*0.282187147688839</f>
        <v>0</v>
      </c>
      <c r="AP132" s="46">
        <f>J132*(1-0.282187147688839)</f>
        <v>0</v>
      </c>
      <c r="AQ132" s="42" t="s">
        <v>1648</v>
      </c>
      <c r="AV132" s="46">
        <f>AW132+AX132</f>
        <v>0</v>
      </c>
      <c r="AW132" s="46">
        <f>I132*AO132</f>
        <v>0</v>
      </c>
      <c r="AX132" s="46">
        <f>I132*AP132</f>
        <v>0</v>
      </c>
      <c r="AY132" s="42" t="s">
        <v>179</v>
      </c>
      <c r="AZ132" s="42" t="s">
        <v>728</v>
      </c>
      <c r="BA132" s="1" t="s">
        <v>1154</v>
      </c>
      <c r="BC132" s="46">
        <f>AW132+AX132</f>
        <v>0</v>
      </c>
      <c r="BD132" s="46">
        <f>J132/(100-BE132)*100</f>
        <v>0</v>
      </c>
      <c r="BE132" s="46">
        <v>0</v>
      </c>
      <c r="BF132" s="46">
        <f>132</f>
        <v>132</v>
      </c>
      <c r="BH132" s="46">
        <f>I132*AO132</f>
        <v>0</v>
      </c>
      <c r="BI132" s="46">
        <f>I132*AP132</f>
        <v>0</v>
      </c>
      <c r="BJ132" s="46">
        <f>I132*J132</f>
        <v>0</v>
      </c>
      <c r="BK132" s="46"/>
      <c r="BL132" s="46">
        <v>11</v>
      </c>
    </row>
    <row r="133" spans="1:15" ht="15" customHeight="1">
      <c r="A133" s="10"/>
      <c r="D133" s="32" t="s">
        <v>228</v>
      </c>
      <c r="G133" s="32" t="s">
        <v>1163</v>
      </c>
      <c r="I133" s="58">
        <v>29.000000000000004</v>
      </c>
      <c r="O133" s="30"/>
    </row>
    <row r="134" spans="1:64" ht="15" customHeight="1">
      <c r="A134" s="52" t="s">
        <v>1356</v>
      </c>
      <c r="B134" s="43" t="s">
        <v>141</v>
      </c>
      <c r="C134" s="43" t="s">
        <v>1661</v>
      </c>
      <c r="D134" s="61" t="s">
        <v>1424</v>
      </c>
      <c r="E134" s="61"/>
      <c r="F134" s="61"/>
      <c r="G134" s="61"/>
      <c r="H134" s="43" t="s">
        <v>1365</v>
      </c>
      <c r="I134" s="46">
        <v>84</v>
      </c>
      <c r="J134" s="46">
        <v>0</v>
      </c>
      <c r="K134" s="46">
        <f>I134*AO134</f>
        <v>0</v>
      </c>
      <c r="L134" s="46">
        <f>I134*AP134</f>
        <v>0</v>
      </c>
      <c r="M134" s="46">
        <f>I134*J134</f>
        <v>0</v>
      </c>
      <c r="N134" s="46">
        <v>0.01271</v>
      </c>
      <c r="O134" s="6" t="s">
        <v>1149</v>
      </c>
      <c r="Z134" s="46">
        <f>IF(AQ134="5",BJ134,0)</f>
        <v>0</v>
      </c>
      <c r="AB134" s="46">
        <f>IF(AQ134="1",BH134,0)</f>
        <v>0</v>
      </c>
      <c r="AC134" s="46">
        <f>IF(AQ134="1",BI134,0)</f>
        <v>0</v>
      </c>
      <c r="AD134" s="46">
        <f>IF(AQ134="7",BH134,0)</f>
        <v>0</v>
      </c>
      <c r="AE134" s="46">
        <f>IF(AQ134="7",BI134,0)</f>
        <v>0</v>
      </c>
      <c r="AF134" s="46">
        <f>IF(AQ134="2",BH134,0)</f>
        <v>0</v>
      </c>
      <c r="AG134" s="46">
        <f>IF(AQ134="2",BI134,0)</f>
        <v>0</v>
      </c>
      <c r="AH134" s="46">
        <f>IF(AQ134="0",BJ134,0)</f>
        <v>0</v>
      </c>
      <c r="AI134" s="1" t="s">
        <v>141</v>
      </c>
      <c r="AJ134" s="46">
        <f>IF(AN134=0,M134,0)</f>
        <v>0</v>
      </c>
      <c r="AK134" s="46">
        <f>IF(AN134=15,M134,0)</f>
        <v>0</v>
      </c>
      <c r="AL134" s="46">
        <f>IF(AN134=21,M134,0)</f>
        <v>0</v>
      </c>
      <c r="AN134" s="46">
        <v>21</v>
      </c>
      <c r="AO134" s="46">
        <f>J134*0.256844997804501</f>
        <v>0</v>
      </c>
      <c r="AP134" s="46">
        <f>J134*(1-0.256844997804501)</f>
        <v>0</v>
      </c>
      <c r="AQ134" s="42" t="s">
        <v>1648</v>
      </c>
      <c r="AV134" s="46">
        <f>AW134+AX134</f>
        <v>0</v>
      </c>
      <c r="AW134" s="46">
        <f>I134*AO134</f>
        <v>0</v>
      </c>
      <c r="AX134" s="46">
        <f>I134*AP134</f>
        <v>0</v>
      </c>
      <c r="AY134" s="42" t="s">
        <v>179</v>
      </c>
      <c r="AZ134" s="42" t="s">
        <v>728</v>
      </c>
      <c r="BA134" s="1" t="s">
        <v>1154</v>
      </c>
      <c r="BC134" s="46">
        <f>AW134+AX134</f>
        <v>0</v>
      </c>
      <c r="BD134" s="46">
        <f>J134/(100-BE134)*100</f>
        <v>0</v>
      </c>
      <c r="BE134" s="46">
        <v>0</v>
      </c>
      <c r="BF134" s="46">
        <f>134</f>
        <v>134</v>
      </c>
      <c r="BH134" s="46">
        <f>I134*AO134</f>
        <v>0</v>
      </c>
      <c r="BI134" s="46">
        <f>I134*AP134</f>
        <v>0</v>
      </c>
      <c r="BJ134" s="46">
        <f>I134*J134</f>
        <v>0</v>
      </c>
      <c r="BK134" s="46"/>
      <c r="BL134" s="46">
        <v>11</v>
      </c>
    </row>
    <row r="135" spans="1:15" ht="15" customHeight="1">
      <c r="A135" s="10"/>
      <c r="D135" s="32" t="s">
        <v>1761</v>
      </c>
      <c r="G135" s="32" t="s">
        <v>1759</v>
      </c>
      <c r="I135" s="58">
        <v>84</v>
      </c>
      <c r="O135" s="30"/>
    </row>
    <row r="136" spans="1:64" ht="15" customHeight="1">
      <c r="A136" s="52" t="s">
        <v>692</v>
      </c>
      <c r="B136" s="43" t="s">
        <v>141</v>
      </c>
      <c r="C136" s="43" t="s">
        <v>982</v>
      </c>
      <c r="D136" s="61" t="s">
        <v>833</v>
      </c>
      <c r="E136" s="61"/>
      <c r="F136" s="61"/>
      <c r="G136" s="61"/>
      <c r="H136" s="43" t="s">
        <v>1629</v>
      </c>
      <c r="I136" s="46">
        <v>419.13</v>
      </c>
      <c r="J136" s="46">
        <v>0</v>
      </c>
      <c r="K136" s="46">
        <f>I136*AO136</f>
        <v>0</v>
      </c>
      <c r="L136" s="46">
        <f>I136*AP136</f>
        <v>0</v>
      </c>
      <c r="M136" s="46">
        <f>I136*J136</f>
        <v>0</v>
      </c>
      <c r="N136" s="46">
        <v>0</v>
      </c>
      <c r="O136" s="6" t="s">
        <v>1149</v>
      </c>
      <c r="Z136" s="46">
        <f>IF(AQ136="5",BJ136,0)</f>
        <v>0</v>
      </c>
      <c r="AB136" s="46">
        <f>IF(AQ136="1",BH136,0)</f>
        <v>0</v>
      </c>
      <c r="AC136" s="46">
        <f>IF(AQ136="1",BI136,0)</f>
        <v>0</v>
      </c>
      <c r="AD136" s="46">
        <f>IF(AQ136="7",BH136,0)</f>
        <v>0</v>
      </c>
      <c r="AE136" s="46">
        <f>IF(AQ136="7",BI136,0)</f>
        <v>0</v>
      </c>
      <c r="AF136" s="46">
        <f>IF(AQ136="2",BH136,0)</f>
        <v>0</v>
      </c>
      <c r="AG136" s="46">
        <f>IF(AQ136="2",BI136,0)</f>
        <v>0</v>
      </c>
      <c r="AH136" s="46">
        <f>IF(AQ136="0",BJ136,0)</f>
        <v>0</v>
      </c>
      <c r="AI136" s="1" t="s">
        <v>141</v>
      </c>
      <c r="AJ136" s="46">
        <f>IF(AN136=0,M136,0)</f>
        <v>0</v>
      </c>
      <c r="AK136" s="46">
        <f>IF(AN136=15,M136,0)</f>
        <v>0</v>
      </c>
      <c r="AL136" s="46">
        <f>IF(AN136=21,M136,0)</f>
        <v>0</v>
      </c>
      <c r="AN136" s="46">
        <v>21</v>
      </c>
      <c r="AO136" s="46">
        <f>J136*0</f>
        <v>0</v>
      </c>
      <c r="AP136" s="46">
        <f>J136*(1-0)</f>
        <v>0</v>
      </c>
      <c r="AQ136" s="42" t="s">
        <v>1648</v>
      </c>
      <c r="AV136" s="46">
        <f>AW136+AX136</f>
        <v>0</v>
      </c>
      <c r="AW136" s="46">
        <f>I136*AO136</f>
        <v>0</v>
      </c>
      <c r="AX136" s="46">
        <f>I136*AP136</f>
        <v>0</v>
      </c>
      <c r="AY136" s="42" t="s">
        <v>179</v>
      </c>
      <c r="AZ136" s="42" t="s">
        <v>728</v>
      </c>
      <c r="BA136" s="1" t="s">
        <v>1154</v>
      </c>
      <c r="BC136" s="46">
        <f>AW136+AX136</f>
        <v>0</v>
      </c>
      <c r="BD136" s="46">
        <f>J136/(100-BE136)*100</f>
        <v>0</v>
      </c>
      <c r="BE136" s="46">
        <v>0</v>
      </c>
      <c r="BF136" s="46">
        <f>136</f>
        <v>136</v>
      </c>
      <c r="BH136" s="46">
        <f>I136*AO136</f>
        <v>0</v>
      </c>
      <c r="BI136" s="46">
        <f>I136*AP136</f>
        <v>0</v>
      </c>
      <c r="BJ136" s="46">
        <f>I136*J136</f>
        <v>0</v>
      </c>
      <c r="BK136" s="46"/>
      <c r="BL136" s="46">
        <v>11</v>
      </c>
    </row>
    <row r="137" spans="1:15" ht="15" customHeight="1">
      <c r="A137" s="10"/>
      <c r="D137" s="32" t="s">
        <v>657</v>
      </c>
      <c r="G137" s="32" t="s">
        <v>1374</v>
      </c>
      <c r="I137" s="58">
        <v>419.13000000000005</v>
      </c>
      <c r="O137" s="30"/>
    </row>
    <row r="138" spans="1:64" ht="15" customHeight="1">
      <c r="A138" s="52" t="s">
        <v>679</v>
      </c>
      <c r="B138" s="43" t="s">
        <v>141</v>
      </c>
      <c r="C138" s="43" t="s">
        <v>1868</v>
      </c>
      <c r="D138" s="61" t="s">
        <v>951</v>
      </c>
      <c r="E138" s="61"/>
      <c r="F138" s="61"/>
      <c r="G138" s="61"/>
      <c r="H138" s="43" t="s">
        <v>1629</v>
      </c>
      <c r="I138" s="46">
        <v>419.13</v>
      </c>
      <c r="J138" s="46">
        <v>0</v>
      </c>
      <c r="K138" s="46">
        <f>I138*AO138</f>
        <v>0</v>
      </c>
      <c r="L138" s="46">
        <f>I138*AP138</f>
        <v>0</v>
      </c>
      <c r="M138" s="46">
        <f>I138*J138</f>
        <v>0</v>
      </c>
      <c r="N138" s="46">
        <v>0</v>
      </c>
      <c r="O138" s="6" t="s">
        <v>1149</v>
      </c>
      <c r="Z138" s="46">
        <f>IF(AQ138="5",BJ138,0)</f>
        <v>0</v>
      </c>
      <c r="AB138" s="46">
        <f>IF(AQ138="1",BH138,0)</f>
        <v>0</v>
      </c>
      <c r="AC138" s="46">
        <f>IF(AQ138="1",BI138,0)</f>
        <v>0</v>
      </c>
      <c r="AD138" s="46">
        <f>IF(AQ138="7",BH138,0)</f>
        <v>0</v>
      </c>
      <c r="AE138" s="46">
        <f>IF(AQ138="7",BI138,0)</f>
        <v>0</v>
      </c>
      <c r="AF138" s="46">
        <f>IF(AQ138="2",BH138,0)</f>
        <v>0</v>
      </c>
      <c r="AG138" s="46">
        <f>IF(AQ138="2",BI138,0)</f>
        <v>0</v>
      </c>
      <c r="AH138" s="46">
        <f>IF(AQ138="0",BJ138,0)</f>
        <v>0</v>
      </c>
      <c r="AI138" s="1" t="s">
        <v>141</v>
      </c>
      <c r="AJ138" s="46">
        <f>IF(AN138=0,M138,0)</f>
        <v>0</v>
      </c>
      <c r="AK138" s="46">
        <f>IF(AN138=15,M138,0)</f>
        <v>0</v>
      </c>
      <c r="AL138" s="46">
        <f>IF(AN138=21,M138,0)</f>
        <v>0</v>
      </c>
      <c r="AN138" s="46">
        <v>21</v>
      </c>
      <c r="AO138" s="46">
        <f>J138*0</f>
        <v>0</v>
      </c>
      <c r="AP138" s="46">
        <f>J138*(1-0)</f>
        <v>0</v>
      </c>
      <c r="AQ138" s="42" t="s">
        <v>1648</v>
      </c>
      <c r="AV138" s="46">
        <f>AW138+AX138</f>
        <v>0</v>
      </c>
      <c r="AW138" s="46">
        <f>I138*AO138</f>
        <v>0</v>
      </c>
      <c r="AX138" s="46">
        <f>I138*AP138</f>
        <v>0</v>
      </c>
      <c r="AY138" s="42" t="s">
        <v>179</v>
      </c>
      <c r="AZ138" s="42" t="s">
        <v>728</v>
      </c>
      <c r="BA138" s="1" t="s">
        <v>1154</v>
      </c>
      <c r="BC138" s="46">
        <f>AW138+AX138</f>
        <v>0</v>
      </c>
      <c r="BD138" s="46">
        <f>J138/(100-BE138)*100</f>
        <v>0</v>
      </c>
      <c r="BE138" s="46">
        <v>0</v>
      </c>
      <c r="BF138" s="46">
        <f>138</f>
        <v>138</v>
      </c>
      <c r="BH138" s="46">
        <f>I138*AO138</f>
        <v>0</v>
      </c>
      <c r="BI138" s="46">
        <f>I138*AP138</f>
        <v>0</v>
      </c>
      <c r="BJ138" s="46">
        <f>I138*J138</f>
        <v>0</v>
      </c>
      <c r="BK138" s="46"/>
      <c r="BL138" s="46">
        <v>11</v>
      </c>
    </row>
    <row r="139" spans="1:15" ht="15" customHeight="1">
      <c r="A139" s="10"/>
      <c r="D139" s="32" t="s">
        <v>657</v>
      </c>
      <c r="G139" s="32" t="s">
        <v>1649</v>
      </c>
      <c r="I139" s="58">
        <v>419.13000000000005</v>
      </c>
      <c r="O139" s="30"/>
    </row>
    <row r="140" spans="1:64" ht="15" customHeight="1">
      <c r="A140" s="52" t="s">
        <v>759</v>
      </c>
      <c r="B140" s="43" t="s">
        <v>141</v>
      </c>
      <c r="C140" s="43" t="s">
        <v>654</v>
      </c>
      <c r="D140" s="61" t="s">
        <v>487</v>
      </c>
      <c r="E140" s="61"/>
      <c r="F140" s="61"/>
      <c r="G140" s="61"/>
      <c r="H140" s="43" t="s">
        <v>749</v>
      </c>
      <c r="I140" s="46">
        <v>97.0405</v>
      </c>
      <c r="J140" s="46">
        <v>0</v>
      </c>
      <c r="K140" s="46">
        <f>I140*AO140</f>
        <v>0</v>
      </c>
      <c r="L140" s="46">
        <f>I140*AP140</f>
        <v>0</v>
      </c>
      <c r="M140" s="46">
        <f>I140*J140</f>
        <v>0</v>
      </c>
      <c r="N140" s="46">
        <v>0</v>
      </c>
      <c r="O140" s="6" t="s">
        <v>1149</v>
      </c>
      <c r="Z140" s="46">
        <f>IF(AQ140="5",BJ140,0)</f>
        <v>0</v>
      </c>
      <c r="AB140" s="46">
        <f>IF(AQ140="1",BH140,0)</f>
        <v>0</v>
      </c>
      <c r="AC140" s="46">
        <f>IF(AQ140="1",BI140,0)</f>
        <v>0</v>
      </c>
      <c r="AD140" s="46">
        <f>IF(AQ140="7",BH140,0)</f>
        <v>0</v>
      </c>
      <c r="AE140" s="46">
        <f>IF(AQ140="7",BI140,0)</f>
        <v>0</v>
      </c>
      <c r="AF140" s="46">
        <f>IF(AQ140="2",BH140,0)</f>
        <v>0</v>
      </c>
      <c r="AG140" s="46">
        <f>IF(AQ140="2",BI140,0)</f>
        <v>0</v>
      </c>
      <c r="AH140" s="46">
        <f>IF(AQ140="0",BJ140,0)</f>
        <v>0</v>
      </c>
      <c r="AI140" s="1" t="s">
        <v>141</v>
      </c>
      <c r="AJ140" s="46">
        <f>IF(AN140=0,M140,0)</f>
        <v>0</v>
      </c>
      <c r="AK140" s="46">
        <f>IF(AN140=15,M140,0)</f>
        <v>0</v>
      </c>
      <c r="AL140" s="46">
        <f>IF(AN140=21,M140,0)</f>
        <v>0</v>
      </c>
      <c r="AN140" s="46">
        <v>21</v>
      </c>
      <c r="AO140" s="46">
        <f>J140*0</f>
        <v>0</v>
      </c>
      <c r="AP140" s="46">
        <f>J140*(1-0)</f>
        <v>0</v>
      </c>
      <c r="AQ140" s="42" t="s">
        <v>880</v>
      </c>
      <c r="AV140" s="46">
        <f>AW140+AX140</f>
        <v>0</v>
      </c>
      <c r="AW140" s="46">
        <f>I140*AO140</f>
        <v>0</v>
      </c>
      <c r="AX140" s="46">
        <f>I140*AP140</f>
        <v>0</v>
      </c>
      <c r="AY140" s="42" t="s">
        <v>179</v>
      </c>
      <c r="AZ140" s="42" t="s">
        <v>728</v>
      </c>
      <c r="BA140" s="1" t="s">
        <v>1154</v>
      </c>
      <c r="BC140" s="46">
        <f>AW140+AX140</f>
        <v>0</v>
      </c>
      <c r="BD140" s="46">
        <f>J140/(100-BE140)*100</f>
        <v>0</v>
      </c>
      <c r="BE140" s="46">
        <v>0</v>
      </c>
      <c r="BF140" s="46">
        <f>140</f>
        <v>140</v>
      </c>
      <c r="BH140" s="46">
        <f>I140*AO140</f>
        <v>0</v>
      </c>
      <c r="BI140" s="46">
        <f>I140*AP140</f>
        <v>0</v>
      </c>
      <c r="BJ140" s="46">
        <f>I140*J140</f>
        <v>0</v>
      </c>
      <c r="BK140" s="46"/>
      <c r="BL140" s="46">
        <v>11</v>
      </c>
    </row>
    <row r="141" spans="1:15" ht="15" customHeight="1">
      <c r="A141" s="10"/>
      <c r="D141" s="32" t="s">
        <v>792</v>
      </c>
      <c r="G141" s="32" t="s">
        <v>1567</v>
      </c>
      <c r="I141" s="58">
        <v>92.2086</v>
      </c>
      <c r="O141" s="30"/>
    </row>
    <row r="142" spans="1:15" ht="15" customHeight="1">
      <c r="A142" s="10"/>
      <c r="D142" s="32" t="s">
        <v>1368</v>
      </c>
      <c r="G142" s="32" t="s">
        <v>1665</v>
      </c>
      <c r="I142" s="58">
        <v>3.2319000000000004</v>
      </c>
      <c r="O142" s="30"/>
    </row>
    <row r="143" spans="1:15" ht="15" customHeight="1">
      <c r="A143" s="10"/>
      <c r="D143" s="32" t="s">
        <v>1569</v>
      </c>
      <c r="G143" s="32" t="s">
        <v>1760</v>
      </c>
      <c r="I143" s="58">
        <v>1.6</v>
      </c>
      <c r="O143" s="30"/>
    </row>
    <row r="144" spans="1:47" ht="15" customHeight="1">
      <c r="A144" s="3" t="s">
        <v>1163</v>
      </c>
      <c r="B144" s="9" t="s">
        <v>141</v>
      </c>
      <c r="C144" s="9" t="s">
        <v>1233</v>
      </c>
      <c r="D144" s="64" t="s">
        <v>394</v>
      </c>
      <c r="E144" s="64"/>
      <c r="F144" s="64"/>
      <c r="G144" s="64"/>
      <c r="H144" s="41" t="s">
        <v>1537</v>
      </c>
      <c r="I144" s="41" t="s">
        <v>1537</v>
      </c>
      <c r="J144" s="41" t="s">
        <v>1537</v>
      </c>
      <c r="K144" s="50">
        <f>SUM(K145:K145)</f>
        <v>0</v>
      </c>
      <c r="L144" s="50">
        <f>SUM(L145:L145)</f>
        <v>0</v>
      </c>
      <c r="M144" s="50">
        <f>SUM(M145:M145)</f>
        <v>0</v>
      </c>
      <c r="N144" s="1" t="s">
        <v>1163</v>
      </c>
      <c r="O144" s="45" t="s">
        <v>1163</v>
      </c>
      <c r="AI144" s="1" t="s">
        <v>141</v>
      </c>
      <c r="AS144" s="50">
        <f>SUM(AJ145:AJ145)</f>
        <v>0</v>
      </c>
      <c r="AT144" s="50">
        <f>SUM(AK145:AK145)</f>
        <v>0</v>
      </c>
      <c r="AU144" s="50">
        <f>SUM(AL145:AL145)</f>
        <v>0</v>
      </c>
    </row>
    <row r="145" spans="1:64" ht="15" customHeight="1">
      <c r="A145" s="52" t="s">
        <v>1534</v>
      </c>
      <c r="B145" s="43" t="s">
        <v>141</v>
      </c>
      <c r="C145" s="43" t="s">
        <v>1503</v>
      </c>
      <c r="D145" s="61" t="s">
        <v>414</v>
      </c>
      <c r="E145" s="61"/>
      <c r="F145" s="61"/>
      <c r="G145" s="61"/>
      <c r="H145" s="43" t="s">
        <v>1604</v>
      </c>
      <c r="I145" s="46">
        <v>52</v>
      </c>
      <c r="J145" s="46">
        <v>0</v>
      </c>
      <c r="K145" s="46">
        <f>I145*AO145</f>
        <v>0</v>
      </c>
      <c r="L145" s="46">
        <f>I145*AP145</f>
        <v>0</v>
      </c>
      <c r="M145" s="46">
        <f>I145*J145</f>
        <v>0</v>
      </c>
      <c r="N145" s="46">
        <v>0</v>
      </c>
      <c r="O145" s="6" t="s">
        <v>1149</v>
      </c>
      <c r="Z145" s="46">
        <f>IF(AQ145="5",BJ145,0)</f>
        <v>0</v>
      </c>
      <c r="AB145" s="46">
        <f>IF(AQ145="1",BH145,0)</f>
        <v>0</v>
      </c>
      <c r="AC145" s="46">
        <f>IF(AQ145="1",BI145,0)</f>
        <v>0</v>
      </c>
      <c r="AD145" s="46">
        <f>IF(AQ145="7",BH145,0)</f>
        <v>0</v>
      </c>
      <c r="AE145" s="46">
        <f>IF(AQ145="7",BI145,0)</f>
        <v>0</v>
      </c>
      <c r="AF145" s="46">
        <f>IF(AQ145="2",BH145,0)</f>
        <v>0</v>
      </c>
      <c r="AG145" s="46">
        <f>IF(AQ145="2",BI145,0)</f>
        <v>0</v>
      </c>
      <c r="AH145" s="46">
        <f>IF(AQ145="0",BJ145,0)</f>
        <v>0</v>
      </c>
      <c r="AI145" s="1" t="s">
        <v>141</v>
      </c>
      <c r="AJ145" s="46">
        <f>IF(AN145=0,M145,0)</f>
        <v>0</v>
      </c>
      <c r="AK145" s="46">
        <f>IF(AN145=15,M145,0)</f>
        <v>0</v>
      </c>
      <c r="AL145" s="46">
        <f>IF(AN145=21,M145,0)</f>
        <v>0</v>
      </c>
      <c r="AN145" s="46">
        <v>21</v>
      </c>
      <c r="AO145" s="46">
        <f>J145*0</f>
        <v>0</v>
      </c>
      <c r="AP145" s="46">
        <f>J145*(1-0)</f>
        <v>0</v>
      </c>
      <c r="AQ145" s="42" t="s">
        <v>1648</v>
      </c>
      <c r="AV145" s="46">
        <f>AW145+AX145</f>
        <v>0</v>
      </c>
      <c r="AW145" s="46">
        <f>I145*AO145</f>
        <v>0</v>
      </c>
      <c r="AX145" s="46">
        <f>I145*AP145</f>
        <v>0</v>
      </c>
      <c r="AY145" s="42" t="s">
        <v>838</v>
      </c>
      <c r="AZ145" s="42" t="s">
        <v>728</v>
      </c>
      <c r="BA145" s="1" t="s">
        <v>1154</v>
      </c>
      <c r="BC145" s="46">
        <f>AW145+AX145</f>
        <v>0</v>
      </c>
      <c r="BD145" s="46">
        <f>J145/(100-BE145)*100</f>
        <v>0</v>
      </c>
      <c r="BE145" s="46">
        <v>0</v>
      </c>
      <c r="BF145" s="46">
        <f>145</f>
        <v>145</v>
      </c>
      <c r="BH145" s="46">
        <f>I145*AO145</f>
        <v>0</v>
      </c>
      <c r="BI145" s="46">
        <f>I145*AP145</f>
        <v>0</v>
      </c>
      <c r="BJ145" s="46">
        <f>I145*J145</f>
        <v>0</v>
      </c>
      <c r="BK145" s="46"/>
      <c r="BL145" s="46">
        <v>12</v>
      </c>
    </row>
    <row r="146" spans="1:15" ht="15" customHeight="1">
      <c r="A146" s="10"/>
      <c r="D146" s="32" t="s">
        <v>14</v>
      </c>
      <c r="G146" s="32" t="s">
        <v>1545</v>
      </c>
      <c r="I146" s="58">
        <v>52.00000000000001</v>
      </c>
      <c r="O146" s="30"/>
    </row>
    <row r="147" spans="1:47" ht="15" customHeight="1">
      <c r="A147" s="3" t="s">
        <v>1163</v>
      </c>
      <c r="B147" s="9" t="s">
        <v>141</v>
      </c>
      <c r="C147" s="9" t="s">
        <v>472</v>
      </c>
      <c r="D147" s="64" t="s">
        <v>16</v>
      </c>
      <c r="E147" s="64"/>
      <c r="F147" s="64"/>
      <c r="G147" s="64"/>
      <c r="H147" s="41" t="s">
        <v>1537</v>
      </c>
      <c r="I147" s="41" t="s">
        <v>1537</v>
      </c>
      <c r="J147" s="41" t="s">
        <v>1537</v>
      </c>
      <c r="K147" s="50">
        <f>SUM(K148:K157)</f>
        <v>0</v>
      </c>
      <c r="L147" s="50">
        <f>SUM(L148:L157)</f>
        <v>0</v>
      </c>
      <c r="M147" s="50">
        <f>SUM(M148:M157)</f>
        <v>0</v>
      </c>
      <c r="N147" s="1" t="s">
        <v>1163</v>
      </c>
      <c r="O147" s="45" t="s">
        <v>1163</v>
      </c>
      <c r="AI147" s="1" t="s">
        <v>141</v>
      </c>
      <c r="AS147" s="50">
        <f>SUM(AJ148:AJ157)</f>
        <v>0</v>
      </c>
      <c r="AT147" s="50">
        <f>SUM(AK148:AK157)</f>
        <v>0</v>
      </c>
      <c r="AU147" s="50">
        <f>SUM(AL148:AL157)</f>
        <v>0</v>
      </c>
    </row>
    <row r="148" spans="1:64" ht="15" customHeight="1">
      <c r="A148" s="52" t="s">
        <v>1106</v>
      </c>
      <c r="B148" s="43" t="s">
        <v>141</v>
      </c>
      <c r="C148" s="43" t="s">
        <v>1476</v>
      </c>
      <c r="D148" s="61" t="s">
        <v>226</v>
      </c>
      <c r="E148" s="61"/>
      <c r="F148" s="61"/>
      <c r="G148" s="61"/>
      <c r="H148" s="43" t="s">
        <v>1604</v>
      </c>
      <c r="I148" s="46">
        <v>736.3</v>
      </c>
      <c r="J148" s="46">
        <v>0</v>
      </c>
      <c r="K148" s="46">
        <f>I148*AO148</f>
        <v>0</v>
      </c>
      <c r="L148" s="46">
        <f>I148*AP148</f>
        <v>0</v>
      </c>
      <c r="M148" s="46">
        <f>I148*J148</f>
        <v>0</v>
      </c>
      <c r="N148" s="46">
        <v>0</v>
      </c>
      <c r="O148" s="6" t="s">
        <v>1149</v>
      </c>
      <c r="Z148" s="46">
        <f>IF(AQ148="5",BJ148,0)</f>
        <v>0</v>
      </c>
      <c r="AB148" s="46">
        <f>IF(AQ148="1",BH148,0)</f>
        <v>0</v>
      </c>
      <c r="AC148" s="46">
        <f>IF(AQ148="1",BI148,0)</f>
        <v>0</v>
      </c>
      <c r="AD148" s="46">
        <f>IF(AQ148="7",BH148,0)</f>
        <v>0</v>
      </c>
      <c r="AE148" s="46">
        <f>IF(AQ148="7",BI148,0)</f>
        <v>0</v>
      </c>
      <c r="AF148" s="46">
        <f>IF(AQ148="2",BH148,0)</f>
        <v>0</v>
      </c>
      <c r="AG148" s="46">
        <f>IF(AQ148="2",BI148,0)</f>
        <v>0</v>
      </c>
      <c r="AH148" s="46">
        <f>IF(AQ148="0",BJ148,0)</f>
        <v>0</v>
      </c>
      <c r="AI148" s="1" t="s">
        <v>141</v>
      </c>
      <c r="AJ148" s="46">
        <f>IF(AN148=0,M148,0)</f>
        <v>0</v>
      </c>
      <c r="AK148" s="46">
        <f>IF(AN148=15,M148,0)</f>
        <v>0</v>
      </c>
      <c r="AL148" s="46">
        <f>IF(AN148=21,M148,0)</f>
        <v>0</v>
      </c>
      <c r="AN148" s="46">
        <v>21</v>
      </c>
      <c r="AO148" s="46">
        <f>J148*0</f>
        <v>0</v>
      </c>
      <c r="AP148" s="46">
        <f>J148*(1-0)</f>
        <v>0</v>
      </c>
      <c r="AQ148" s="42" t="s">
        <v>1648</v>
      </c>
      <c r="AV148" s="46">
        <f>AW148+AX148</f>
        <v>0</v>
      </c>
      <c r="AW148" s="46">
        <f>I148*AO148</f>
        <v>0</v>
      </c>
      <c r="AX148" s="46">
        <f>I148*AP148</f>
        <v>0</v>
      </c>
      <c r="AY148" s="42" t="s">
        <v>1498</v>
      </c>
      <c r="AZ148" s="42" t="s">
        <v>728</v>
      </c>
      <c r="BA148" s="1" t="s">
        <v>1154</v>
      </c>
      <c r="BC148" s="46">
        <f>AW148+AX148</f>
        <v>0</v>
      </c>
      <c r="BD148" s="46">
        <f>J148/(100-BE148)*100</f>
        <v>0</v>
      </c>
      <c r="BE148" s="46">
        <v>0</v>
      </c>
      <c r="BF148" s="46">
        <f>148</f>
        <v>148</v>
      </c>
      <c r="BH148" s="46">
        <f>I148*AO148</f>
        <v>0</v>
      </c>
      <c r="BI148" s="46">
        <f>I148*AP148</f>
        <v>0</v>
      </c>
      <c r="BJ148" s="46">
        <f>I148*J148</f>
        <v>0</v>
      </c>
      <c r="BK148" s="46"/>
      <c r="BL148" s="46">
        <v>13</v>
      </c>
    </row>
    <row r="149" spans="1:15" ht="15" customHeight="1">
      <c r="A149" s="10"/>
      <c r="D149" s="32" t="s">
        <v>1411</v>
      </c>
      <c r="G149" s="32" t="s">
        <v>1414</v>
      </c>
      <c r="I149" s="58">
        <v>672.3000000000001</v>
      </c>
      <c r="O149" s="30"/>
    </row>
    <row r="150" spans="1:15" ht="15" customHeight="1">
      <c r="A150" s="10"/>
      <c r="D150" s="32" t="s">
        <v>1002</v>
      </c>
      <c r="G150" s="32" t="s">
        <v>1338</v>
      </c>
      <c r="I150" s="58">
        <v>64</v>
      </c>
      <c r="O150" s="30"/>
    </row>
    <row r="151" spans="1:64" ht="15" customHeight="1">
      <c r="A151" s="52" t="s">
        <v>1063</v>
      </c>
      <c r="B151" s="43" t="s">
        <v>141</v>
      </c>
      <c r="C151" s="43" t="s">
        <v>585</v>
      </c>
      <c r="D151" s="61" t="s">
        <v>1696</v>
      </c>
      <c r="E151" s="61"/>
      <c r="F151" s="61"/>
      <c r="G151" s="61"/>
      <c r="H151" s="43" t="s">
        <v>1604</v>
      </c>
      <c r="I151" s="46">
        <v>102</v>
      </c>
      <c r="J151" s="46">
        <v>0</v>
      </c>
      <c r="K151" s="46">
        <f>I151*AO151</f>
        <v>0</v>
      </c>
      <c r="L151" s="46">
        <f>I151*AP151</f>
        <v>0</v>
      </c>
      <c r="M151" s="46">
        <f>I151*J151</f>
        <v>0</v>
      </c>
      <c r="N151" s="46">
        <v>0</v>
      </c>
      <c r="O151" s="6" t="s">
        <v>1149</v>
      </c>
      <c r="Z151" s="46">
        <f>IF(AQ151="5",BJ151,0)</f>
        <v>0</v>
      </c>
      <c r="AB151" s="46">
        <f>IF(AQ151="1",BH151,0)</f>
        <v>0</v>
      </c>
      <c r="AC151" s="46">
        <f>IF(AQ151="1",BI151,0)</f>
        <v>0</v>
      </c>
      <c r="AD151" s="46">
        <f>IF(AQ151="7",BH151,0)</f>
        <v>0</v>
      </c>
      <c r="AE151" s="46">
        <f>IF(AQ151="7",BI151,0)</f>
        <v>0</v>
      </c>
      <c r="AF151" s="46">
        <f>IF(AQ151="2",BH151,0)</f>
        <v>0</v>
      </c>
      <c r="AG151" s="46">
        <f>IF(AQ151="2",BI151,0)</f>
        <v>0</v>
      </c>
      <c r="AH151" s="46">
        <f>IF(AQ151="0",BJ151,0)</f>
        <v>0</v>
      </c>
      <c r="AI151" s="1" t="s">
        <v>141</v>
      </c>
      <c r="AJ151" s="46">
        <f>IF(AN151=0,M151,0)</f>
        <v>0</v>
      </c>
      <c r="AK151" s="46">
        <f>IF(AN151=15,M151,0)</f>
        <v>0</v>
      </c>
      <c r="AL151" s="46">
        <f>IF(AN151=21,M151,0)</f>
        <v>0</v>
      </c>
      <c r="AN151" s="46">
        <v>21</v>
      </c>
      <c r="AO151" s="46">
        <f>J151*0</f>
        <v>0</v>
      </c>
      <c r="AP151" s="46">
        <f>J151*(1-0)</f>
        <v>0</v>
      </c>
      <c r="AQ151" s="42" t="s">
        <v>1648</v>
      </c>
      <c r="AV151" s="46">
        <f>AW151+AX151</f>
        <v>0</v>
      </c>
      <c r="AW151" s="46">
        <f>I151*AO151</f>
        <v>0</v>
      </c>
      <c r="AX151" s="46">
        <f>I151*AP151</f>
        <v>0</v>
      </c>
      <c r="AY151" s="42" t="s">
        <v>1498</v>
      </c>
      <c r="AZ151" s="42" t="s">
        <v>728</v>
      </c>
      <c r="BA151" s="1" t="s">
        <v>1154</v>
      </c>
      <c r="BC151" s="46">
        <f>AW151+AX151</f>
        <v>0</v>
      </c>
      <c r="BD151" s="46">
        <f>J151/(100-BE151)*100</f>
        <v>0</v>
      </c>
      <c r="BE151" s="46">
        <v>0</v>
      </c>
      <c r="BF151" s="46">
        <f>151</f>
        <v>151</v>
      </c>
      <c r="BH151" s="46">
        <f>I151*AO151</f>
        <v>0</v>
      </c>
      <c r="BI151" s="46">
        <f>I151*AP151</f>
        <v>0</v>
      </c>
      <c r="BJ151" s="46">
        <f>I151*J151</f>
        <v>0</v>
      </c>
      <c r="BK151" s="46"/>
      <c r="BL151" s="46">
        <v>13</v>
      </c>
    </row>
    <row r="152" spans="1:15" ht="15" customHeight="1">
      <c r="A152" s="10"/>
      <c r="D152" s="32" t="s">
        <v>653</v>
      </c>
      <c r="G152" s="32" t="s">
        <v>1163</v>
      </c>
      <c r="I152" s="58">
        <v>16.8</v>
      </c>
      <c r="O152" s="30"/>
    </row>
    <row r="153" spans="1:15" ht="15" customHeight="1">
      <c r="A153" s="10"/>
      <c r="D153" s="32" t="s">
        <v>1160</v>
      </c>
      <c r="G153" s="32" t="s">
        <v>1163</v>
      </c>
      <c r="I153" s="58">
        <v>50.400000000000006</v>
      </c>
      <c r="O153" s="30"/>
    </row>
    <row r="154" spans="1:15" ht="15" customHeight="1">
      <c r="A154" s="10"/>
      <c r="D154" s="32" t="s">
        <v>1138</v>
      </c>
      <c r="G154" s="32" t="s">
        <v>1163</v>
      </c>
      <c r="I154" s="58">
        <v>34.800000000000004</v>
      </c>
      <c r="O154" s="30"/>
    </row>
    <row r="155" spans="1:64" ht="15" customHeight="1">
      <c r="A155" s="52" t="s">
        <v>1581</v>
      </c>
      <c r="B155" s="43" t="s">
        <v>141</v>
      </c>
      <c r="C155" s="43" t="s">
        <v>1476</v>
      </c>
      <c r="D155" s="61" t="s">
        <v>226</v>
      </c>
      <c r="E155" s="61"/>
      <c r="F155" s="61"/>
      <c r="G155" s="61"/>
      <c r="H155" s="43" t="s">
        <v>1604</v>
      </c>
      <c r="I155" s="46">
        <v>677.178</v>
      </c>
      <c r="J155" s="46">
        <v>0</v>
      </c>
      <c r="K155" s="46">
        <f>I155*AO155</f>
        <v>0</v>
      </c>
      <c r="L155" s="46">
        <f>I155*AP155</f>
        <v>0</v>
      </c>
      <c r="M155" s="46">
        <f>I155*J155</f>
        <v>0</v>
      </c>
      <c r="N155" s="46">
        <v>0</v>
      </c>
      <c r="O155" s="6" t="s">
        <v>1149</v>
      </c>
      <c r="Z155" s="46">
        <f>IF(AQ155="5",BJ155,0)</f>
        <v>0</v>
      </c>
      <c r="AB155" s="46">
        <f>IF(AQ155="1",BH155,0)</f>
        <v>0</v>
      </c>
      <c r="AC155" s="46">
        <f>IF(AQ155="1",BI155,0)</f>
        <v>0</v>
      </c>
      <c r="AD155" s="46">
        <f>IF(AQ155="7",BH155,0)</f>
        <v>0</v>
      </c>
      <c r="AE155" s="46">
        <f>IF(AQ155="7",BI155,0)</f>
        <v>0</v>
      </c>
      <c r="AF155" s="46">
        <f>IF(AQ155="2",BH155,0)</f>
        <v>0</v>
      </c>
      <c r="AG155" s="46">
        <f>IF(AQ155="2",BI155,0)</f>
        <v>0</v>
      </c>
      <c r="AH155" s="46">
        <f>IF(AQ155="0",BJ155,0)</f>
        <v>0</v>
      </c>
      <c r="AI155" s="1" t="s">
        <v>141</v>
      </c>
      <c r="AJ155" s="46">
        <f>IF(AN155=0,M155,0)</f>
        <v>0</v>
      </c>
      <c r="AK155" s="46">
        <f>IF(AN155=15,M155,0)</f>
        <v>0</v>
      </c>
      <c r="AL155" s="46">
        <f>IF(AN155=21,M155,0)</f>
        <v>0</v>
      </c>
      <c r="AN155" s="46">
        <v>21</v>
      </c>
      <c r="AO155" s="46">
        <f>J155*0</f>
        <v>0</v>
      </c>
      <c r="AP155" s="46">
        <f>J155*(1-0)</f>
        <v>0</v>
      </c>
      <c r="AQ155" s="42" t="s">
        <v>1648</v>
      </c>
      <c r="AV155" s="46">
        <f>AW155+AX155</f>
        <v>0</v>
      </c>
      <c r="AW155" s="46">
        <f>I155*AO155</f>
        <v>0</v>
      </c>
      <c r="AX155" s="46">
        <f>I155*AP155</f>
        <v>0</v>
      </c>
      <c r="AY155" s="42" t="s">
        <v>1498</v>
      </c>
      <c r="AZ155" s="42" t="s">
        <v>728</v>
      </c>
      <c r="BA155" s="1" t="s">
        <v>1154</v>
      </c>
      <c r="BC155" s="46">
        <f>AW155+AX155</f>
        <v>0</v>
      </c>
      <c r="BD155" s="46">
        <f>J155/(100-BE155)*100</f>
        <v>0</v>
      </c>
      <c r="BE155" s="46">
        <v>0</v>
      </c>
      <c r="BF155" s="46">
        <f>155</f>
        <v>155</v>
      </c>
      <c r="BH155" s="46">
        <f>I155*AO155</f>
        <v>0</v>
      </c>
      <c r="BI155" s="46">
        <f>I155*AP155</f>
        <v>0</v>
      </c>
      <c r="BJ155" s="46">
        <f>I155*J155</f>
        <v>0</v>
      </c>
      <c r="BK155" s="46"/>
      <c r="BL155" s="46">
        <v>13</v>
      </c>
    </row>
    <row r="156" spans="1:15" ht="15" customHeight="1">
      <c r="A156" s="10"/>
      <c r="D156" s="32" t="s">
        <v>556</v>
      </c>
      <c r="G156" s="32" t="s">
        <v>850</v>
      </c>
      <c r="I156" s="58">
        <v>677.1780000000001</v>
      </c>
      <c r="O156" s="30"/>
    </row>
    <row r="157" spans="1:64" ht="15" customHeight="1">
      <c r="A157" s="52" t="s">
        <v>974</v>
      </c>
      <c r="B157" s="43" t="s">
        <v>141</v>
      </c>
      <c r="C157" s="43" t="s">
        <v>585</v>
      </c>
      <c r="D157" s="61" t="s">
        <v>1696</v>
      </c>
      <c r="E157" s="61"/>
      <c r="F157" s="61"/>
      <c r="G157" s="61"/>
      <c r="H157" s="43" t="s">
        <v>1604</v>
      </c>
      <c r="I157" s="46">
        <v>267.3</v>
      </c>
      <c r="J157" s="46">
        <v>0</v>
      </c>
      <c r="K157" s="46">
        <f>I157*AO157</f>
        <v>0</v>
      </c>
      <c r="L157" s="46">
        <f>I157*AP157</f>
        <v>0</v>
      </c>
      <c r="M157" s="46">
        <f>I157*J157</f>
        <v>0</v>
      </c>
      <c r="N157" s="46">
        <v>0</v>
      </c>
      <c r="O157" s="6" t="s">
        <v>1149</v>
      </c>
      <c r="Z157" s="46">
        <f>IF(AQ157="5",BJ157,0)</f>
        <v>0</v>
      </c>
      <c r="AB157" s="46">
        <f>IF(AQ157="1",BH157,0)</f>
        <v>0</v>
      </c>
      <c r="AC157" s="46">
        <f>IF(AQ157="1",BI157,0)</f>
        <v>0</v>
      </c>
      <c r="AD157" s="46">
        <f>IF(AQ157="7",BH157,0)</f>
        <v>0</v>
      </c>
      <c r="AE157" s="46">
        <f>IF(AQ157="7",BI157,0)</f>
        <v>0</v>
      </c>
      <c r="AF157" s="46">
        <f>IF(AQ157="2",BH157,0)</f>
        <v>0</v>
      </c>
      <c r="AG157" s="46">
        <f>IF(AQ157="2",BI157,0)</f>
        <v>0</v>
      </c>
      <c r="AH157" s="46">
        <f>IF(AQ157="0",BJ157,0)</f>
        <v>0</v>
      </c>
      <c r="AI157" s="1" t="s">
        <v>141</v>
      </c>
      <c r="AJ157" s="46">
        <f>IF(AN157=0,M157,0)</f>
        <v>0</v>
      </c>
      <c r="AK157" s="46">
        <f>IF(AN157=15,M157,0)</f>
        <v>0</v>
      </c>
      <c r="AL157" s="46">
        <f>IF(AN157=21,M157,0)</f>
        <v>0</v>
      </c>
      <c r="AN157" s="46">
        <v>21</v>
      </c>
      <c r="AO157" s="46">
        <f>J157*0</f>
        <v>0</v>
      </c>
      <c r="AP157" s="46">
        <f>J157*(1-0)</f>
        <v>0</v>
      </c>
      <c r="AQ157" s="42" t="s">
        <v>1648</v>
      </c>
      <c r="AV157" s="46">
        <f>AW157+AX157</f>
        <v>0</v>
      </c>
      <c r="AW157" s="46">
        <f>I157*AO157</f>
        <v>0</v>
      </c>
      <c r="AX157" s="46">
        <f>I157*AP157</f>
        <v>0</v>
      </c>
      <c r="AY157" s="42" t="s">
        <v>1498</v>
      </c>
      <c r="AZ157" s="42" t="s">
        <v>728</v>
      </c>
      <c r="BA157" s="1" t="s">
        <v>1154</v>
      </c>
      <c r="BC157" s="46">
        <f>AW157+AX157</f>
        <v>0</v>
      </c>
      <c r="BD157" s="46">
        <f>J157/(100-BE157)*100</f>
        <v>0</v>
      </c>
      <c r="BE157" s="46">
        <v>0</v>
      </c>
      <c r="BF157" s="46">
        <f>157</f>
        <v>157</v>
      </c>
      <c r="BH157" s="46">
        <f>I157*AO157</f>
        <v>0</v>
      </c>
      <c r="BI157" s="46">
        <f>I157*AP157</f>
        <v>0</v>
      </c>
      <c r="BJ157" s="46">
        <f>I157*J157</f>
        <v>0</v>
      </c>
      <c r="BK157" s="46"/>
      <c r="BL157" s="46">
        <v>13</v>
      </c>
    </row>
    <row r="158" spans="1:15" ht="15" customHeight="1">
      <c r="A158" s="10"/>
      <c r="D158" s="32" t="s">
        <v>1391</v>
      </c>
      <c r="G158" s="32" t="s">
        <v>187</v>
      </c>
      <c r="I158" s="58">
        <v>267.3</v>
      </c>
      <c r="O158" s="30"/>
    </row>
    <row r="159" spans="1:47" ht="15" customHeight="1">
      <c r="A159" s="3" t="s">
        <v>1163</v>
      </c>
      <c r="B159" s="9" t="s">
        <v>141</v>
      </c>
      <c r="C159" s="9" t="s">
        <v>988</v>
      </c>
      <c r="D159" s="64" t="s">
        <v>958</v>
      </c>
      <c r="E159" s="64"/>
      <c r="F159" s="64"/>
      <c r="G159" s="64"/>
      <c r="H159" s="41" t="s">
        <v>1537</v>
      </c>
      <c r="I159" s="41" t="s">
        <v>1537</v>
      </c>
      <c r="J159" s="41" t="s">
        <v>1537</v>
      </c>
      <c r="K159" s="50">
        <f>SUM(K160:K161)</f>
        <v>0</v>
      </c>
      <c r="L159" s="50">
        <f>SUM(L160:L161)</f>
        <v>0</v>
      </c>
      <c r="M159" s="50">
        <f>SUM(M160:M161)</f>
        <v>0</v>
      </c>
      <c r="N159" s="1" t="s">
        <v>1163</v>
      </c>
      <c r="O159" s="45" t="s">
        <v>1163</v>
      </c>
      <c r="AI159" s="1" t="s">
        <v>141</v>
      </c>
      <c r="AS159" s="50">
        <f>SUM(AJ160:AJ161)</f>
        <v>0</v>
      </c>
      <c r="AT159" s="50">
        <f>SUM(AK160:AK161)</f>
        <v>0</v>
      </c>
      <c r="AU159" s="50">
        <f>SUM(AL160:AL161)</f>
        <v>0</v>
      </c>
    </row>
    <row r="160" spans="1:64" ht="15" customHeight="1">
      <c r="A160" s="52" t="s">
        <v>740</v>
      </c>
      <c r="B160" s="43" t="s">
        <v>141</v>
      </c>
      <c r="C160" s="43" t="s">
        <v>1101</v>
      </c>
      <c r="D160" s="61" t="s">
        <v>635</v>
      </c>
      <c r="E160" s="61"/>
      <c r="F160" s="61"/>
      <c r="G160" s="61"/>
      <c r="H160" s="43" t="s">
        <v>1365</v>
      </c>
      <c r="I160" s="46">
        <v>14</v>
      </c>
      <c r="J160" s="46">
        <v>0</v>
      </c>
      <c r="K160" s="46">
        <f>I160*AO160</f>
        <v>0</v>
      </c>
      <c r="L160" s="46">
        <f>I160*AP160</f>
        <v>0</v>
      </c>
      <c r="M160" s="46">
        <f>I160*J160</f>
        <v>0</v>
      </c>
      <c r="N160" s="46">
        <v>0.00037</v>
      </c>
      <c r="O160" s="6" t="s">
        <v>1149</v>
      </c>
      <c r="Z160" s="46">
        <f>IF(AQ160="5",BJ160,0)</f>
        <v>0</v>
      </c>
      <c r="AB160" s="46">
        <f>IF(AQ160="1",BH160,0)</f>
        <v>0</v>
      </c>
      <c r="AC160" s="46">
        <f>IF(AQ160="1",BI160,0)</f>
        <v>0</v>
      </c>
      <c r="AD160" s="46">
        <f>IF(AQ160="7",BH160,0)</f>
        <v>0</v>
      </c>
      <c r="AE160" s="46">
        <f>IF(AQ160="7",BI160,0)</f>
        <v>0</v>
      </c>
      <c r="AF160" s="46">
        <f>IF(AQ160="2",BH160,0)</f>
        <v>0</v>
      </c>
      <c r="AG160" s="46">
        <f>IF(AQ160="2",BI160,0)</f>
        <v>0</v>
      </c>
      <c r="AH160" s="46">
        <f>IF(AQ160="0",BJ160,0)</f>
        <v>0</v>
      </c>
      <c r="AI160" s="1" t="s">
        <v>141</v>
      </c>
      <c r="AJ160" s="46">
        <f>IF(AN160=0,M160,0)</f>
        <v>0</v>
      </c>
      <c r="AK160" s="46">
        <f>IF(AN160=15,M160,0)</f>
        <v>0</v>
      </c>
      <c r="AL160" s="46">
        <f>IF(AN160=21,M160,0)</f>
        <v>0</v>
      </c>
      <c r="AN160" s="46">
        <v>21</v>
      </c>
      <c r="AO160" s="46">
        <f>J160*0.0148385593368061</f>
        <v>0</v>
      </c>
      <c r="AP160" s="46">
        <f>J160*(1-0.0148385593368061)</f>
        <v>0</v>
      </c>
      <c r="AQ160" s="42" t="s">
        <v>1648</v>
      </c>
      <c r="AV160" s="46">
        <f>AW160+AX160</f>
        <v>0</v>
      </c>
      <c r="AW160" s="46">
        <f>I160*AO160</f>
        <v>0</v>
      </c>
      <c r="AX160" s="46">
        <f>I160*AP160</f>
        <v>0</v>
      </c>
      <c r="AY160" s="42" t="s">
        <v>1740</v>
      </c>
      <c r="AZ160" s="42" t="s">
        <v>728</v>
      </c>
      <c r="BA160" s="1" t="s">
        <v>1154</v>
      </c>
      <c r="BC160" s="46">
        <f>AW160+AX160</f>
        <v>0</v>
      </c>
      <c r="BD160" s="46">
        <f>J160/(100-BE160)*100</f>
        <v>0</v>
      </c>
      <c r="BE160" s="46">
        <v>0</v>
      </c>
      <c r="BF160" s="46">
        <f>160</f>
        <v>160</v>
      </c>
      <c r="BH160" s="46">
        <f>I160*AO160</f>
        <v>0</v>
      </c>
      <c r="BI160" s="46">
        <f>I160*AP160</f>
        <v>0</v>
      </c>
      <c r="BJ160" s="46">
        <f>I160*J160</f>
        <v>0</v>
      </c>
      <c r="BK160" s="46"/>
      <c r="BL160" s="46">
        <v>14</v>
      </c>
    </row>
    <row r="161" spans="1:64" ht="15" customHeight="1">
      <c r="A161" s="52" t="s">
        <v>200</v>
      </c>
      <c r="B161" s="43" t="s">
        <v>141</v>
      </c>
      <c r="C161" s="43" t="s">
        <v>960</v>
      </c>
      <c r="D161" s="61" t="s">
        <v>952</v>
      </c>
      <c r="E161" s="61"/>
      <c r="F161" s="61"/>
      <c r="G161" s="61"/>
      <c r="H161" s="43" t="s">
        <v>1365</v>
      </c>
      <c r="I161" s="46">
        <v>14</v>
      </c>
      <c r="J161" s="46">
        <v>0</v>
      </c>
      <c r="K161" s="46">
        <f>I161*AO161</f>
        <v>0</v>
      </c>
      <c r="L161" s="46">
        <f>I161*AP161</f>
        <v>0</v>
      </c>
      <c r="M161" s="46">
        <f>I161*J161</f>
        <v>0</v>
      </c>
      <c r="N161" s="46">
        <v>0.084</v>
      </c>
      <c r="O161" s="6" t="s">
        <v>1149</v>
      </c>
      <c r="Z161" s="46">
        <f>IF(AQ161="5",BJ161,0)</f>
        <v>0</v>
      </c>
      <c r="AB161" s="46">
        <f>IF(AQ161="1",BH161,0)</f>
        <v>0</v>
      </c>
      <c r="AC161" s="46">
        <f>IF(AQ161="1",BI161,0)</f>
        <v>0</v>
      </c>
      <c r="AD161" s="46">
        <f>IF(AQ161="7",BH161,0)</f>
        <v>0</v>
      </c>
      <c r="AE161" s="46">
        <f>IF(AQ161="7",BI161,0)</f>
        <v>0</v>
      </c>
      <c r="AF161" s="46">
        <f>IF(AQ161="2",BH161,0)</f>
        <v>0</v>
      </c>
      <c r="AG161" s="46">
        <f>IF(AQ161="2",BI161,0)</f>
        <v>0</v>
      </c>
      <c r="AH161" s="46">
        <f>IF(AQ161="0",BJ161,0)</f>
        <v>0</v>
      </c>
      <c r="AI161" s="1" t="s">
        <v>141</v>
      </c>
      <c r="AJ161" s="46">
        <f>IF(AN161=0,M161,0)</f>
        <v>0</v>
      </c>
      <c r="AK161" s="46">
        <f>IF(AN161=15,M161,0)</f>
        <v>0</v>
      </c>
      <c r="AL161" s="46">
        <f>IF(AN161=21,M161,0)</f>
        <v>0</v>
      </c>
      <c r="AN161" s="46">
        <v>21</v>
      </c>
      <c r="AO161" s="46">
        <f>J161*1</f>
        <v>0</v>
      </c>
      <c r="AP161" s="46">
        <f>J161*(1-1)</f>
        <v>0</v>
      </c>
      <c r="AQ161" s="42" t="s">
        <v>1648</v>
      </c>
      <c r="AV161" s="46">
        <f>AW161+AX161</f>
        <v>0</v>
      </c>
      <c r="AW161" s="46">
        <f>I161*AO161</f>
        <v>0</v>
      </c>
      <c r="AX161" s="46">
        <f>I161*AP161</f>
        <v>0</v>
      </c>
      <c r="AY161" s="42" t="s">
        <v>1740</v>
      </c>
      <c r="AZ161" s="42" t="s">
        <v>728</v>
      </c>
      <c r="BA161" s="1" t="s">
        <v>1154</v>
      </c>
      <c r="BC161" s="46">
        <f>AW161+AX161</f>
        <v>0</v>
      </c>
      <c r="BD161" s="46">
        <f>J161/(100-BE161)*100</f>
        <v>0</v>
      </c>
      <c r="BE161" s="46">
        <v>0</v>
      </c>
      <c r="BF161" s="46">
        <f>161</f>
        <v>161</v>
      </c>
      <c r="BH161" s="46">
        <f>I161*AO161</f>
        <v>0</v>
      </c>
      <c r="BI161" s="46">
        <f>I161*AP161</f>
        <v>0</v>
      </c>
      <c r="BJ161" s="46">
        <f>I161*J161</f>
        <v>0</v>
      </c>
      <c r="BK161" s="46"/>
      <c r="BL161" s="46">
        <v>14</v>
      </c>
    </row>
    <row r="162" spans="1:15" ht="15" customHeight="1">
      <c r="A162" s="10"/>
      <c r="D162" s="32" t="s">
        <v>988</v>
      </c>
      <c r="G162" s="32" t="s">
        <v>349</v>
      </c>
      <c r="I162" s="58">
        <v>14.000000000000002</v>
      </c>
      <c r="O162" s="30"/>
    </row>
    <row r="163" spans="1:47" ht="15" customHeight="1">
      <c r="A163" s="3" t="s">
        <v>1163</v>
      </c>
      <c r="B163" s="9" t="s">
        <v>141</v>
      </c>
      <c r="C163" s="9" t="s">
        <v>639</v>
      </c>
      <c r="D163" s="64" t="s">
        <v>1434</v>
      </c>
      <c r="E163" s="64"/>
      <c r="F163" s="64"/>
      <c r="G163" s="64"/>
      <c r="H163" s="41" t="s">
        <v>1537</v>
      </c>
      <c r="I163" s="41" t="s">
        <v>1537</v>
      </c>
      <c r="J163" s="41" t="s">
        <v>1537</v>
      </c>
      <c r="K163" s="50">
        <f>SUM(K164:K172)</f>
        <v>0</v>
      </c>
      <c r="L163" s="50">
        <f>SUM(L164:L172)</f>
        <v>0</v>
      </c>
      <c r="M163" s="50">
        <f>SUM(M164:M172)</f>
        <v>0</v>
      </c>
      <c r="N163" s="1" t="s">
        <v>1163</v>
      </c>
      <c r="O163" s="45" t="s">
        <v>1163</v>
      </c>
      <c r="AI163" s="1" t="s">
        <v>141</v>
      </c>
      <c r="AS163" s="50">
        <f>SUM(AJ164:AJ172)</f>
        <v>0</v>
      </c>
      <c r="AT163" s="50">
        <f>SUM(AK164:AK172)</f>
        <v>0</v>
      </c>
      <c r="AU163" s="50">
        <f>SUM(AL164:AL172)</f>
        <v>0</v>
      </c>
    </row>
    <row r="164" spans="1:64" ht="15" customHeight="1">
      <c r="A164" s="52" t="s">
        <v>1212</v>
      </c>
      <c r="B164" s="43" t="s">
        <v>141</v>
      </c>
      <c r="C164" s="43" t="s">
        <v>1826</v>
      </c>
      <c r="D164" s="61" t="s">
        <v>353</v>
      </c>
      <c r="E164" s="61"/>
      <c r="F164" s="61"/>
      <c r="G164" s="61"/>
      <c r="H164" s="43" t="s">
        <v>1629</v>
      </c>
      <c r="I164" s="46">
        <v>2114.84</v>
      </c>
      <c r="J164" s="46">
        <v>0</v>
      </c>
      <c r="K164" s="46">
        <f>I164*AO164</f>
        <v>0</v>
      </c>
      <c r="L164" s="46">
        <f>I164*AP164</f>
        <v>0</v>
      </c>
      <c r="M164" s="46">
        <f>I164*J164</f>
        <v>0</v>
      </c>
      <c r="N164" s="46">
        <v>0.00099</v>
      </c>
      <c r="O164" s="6" t="s">
        <v>1149</v>
      </c>
      <c r="Z164" s="46">
        <f>IF(AQ164="5",BJ164,0)</f>
        <v>0</v>
      </c>
      <c r="AB164" s="46">
        <f>IF(AQ164="1",BH164,0)</f>
        <v>0</v>
      </c>
      <c r="AC164" s="46">
        <f>IF(AQ164="1",BI164,0)</f>
        <v>0</v>
      </c>
      <c r="AD164" s="46">
        <f>IF(AQ164="7",BH164,0)</f>
        <v>0</v>
      </c>
      <c r="AE164" s="46">
        <f>IF(AQ164="7",BI164,0)</f>
        <v>0</v>
      </c>
      <c r="AF164" s="46">
        <f>IF(AQ164="2",BH164,0)</f>
        <v>0</v>
      </c>
      <c r="AG164" s="46">
        <f>IF(AQ164="2",BI164,0)</f>
        <v>0</v>
      </c>
      <c r="AH164" s="46">
        <f>IF(AQ164="0",BJ164,0)</f>
        <v>0</v>
      </c>
      <c r="AI164" s="1" t="s">
        <v>141</v>
      </c>
      <c r="AJ164" s="46">
        <f>IF(AN164=0,M164,0)</f>
        <v>0</v>
      </c>
      <c r="AK164" s="46">
        <f>IF(AN164=15,M164,0)</f>
        <v>0</v>
      </c>
      <c r="AL164" s="46">
        <f>IF(AN164=21,M164,0)</f>
        <v>0</v>
      </c>
      <c r="AN164" s="46">
        <v>21</v>
      </c>
      <c r="AO164" s="46">
        <f>J164*0.0932214765100671</f>
        <v>0</v>
      </c>
      <c r="AP164" s="46">
        <f>J164*(1-0.0932214765100671)</f>
        <v>0</v>
      </c>
      <c r="AQ164" s="42" t="s">
        <v>1648</v>
      </c>
      <c r="AV164" s="46">
        <f>AW164+AX164</f>
        <v>0</v>
      </c>
      <c r="AW164" s="46">
        <f>I164*AO164</f>
        <v>0</v>
      </c>
      <c r="AX164" s="46">
        <f>I164*AP164</f>
        <v>0</v>
      </c>
      <c r="AY164" s="42" t="s">
        <v>1180</v>
      </c>
      <c r="AZ164" s="42" t="s">
        <v>728</v>
      </c>
      <c r="BA164" s="1" t="s">
        <v>1154</v>
      </c>
      <c r="BC164" s="46">
        <f>AW164+AX164</f>
        <v>0</v>
      </c>
      <c r="BD164" s="46">
        <f>J164/(100-BE164)*100</f>
        <v>0</v>
      </c>
      <c r="BE164" s="46">
        <v>0</v>
      </c>
      <c r="BF164" s="46">
        <f>164</f>
        <v>164</v>
      </c>
      <c r="BH164" s="46">
        <f>I164*AO164</f>
        <v>0</v>
      </c>
      <c r="BI164" s="46">
        <f>I164*AP164</f>
        <v>0</v>
      </c>
      <c r="BJ164" s="46">
        <f>I164*J164</f>
        <v>0</v>
      </c>
      <c r="BK164" s="46"/>
      <c r="BL164" s="46">
        <v>15</v>
      </c>
    </row>
    <row r="165" spans="1:15" ht="15" customHeight="1">
      <c r="A165" s="10"/>
      <c r="D165" s="32" t="s">
        <v>57</v>
      </c>
      <c r="G165" s="32" t="s">
        <v>1016</v>
      </c>
      <c r="I165" s="58">
        <v>610</v>
      </c>
      <c r="O165" s="30"/>
    </row>
    <row r="166" spans="1:15" ht="15" customHeight="1">
      <c r="A166" s="10"/>
      <c r="D166" s="32" t="s">
        <v>846</v>
      </c>
      <c r="G166" s="32" t="s">
        <v>850</v>
      </c>
      <c r="I166" s="58">
        <v>1504.8400000000001</v>
      </c>
      <c r="O166" s="30"/>
    </row>
    <row r="167" spans="1:64" ht="15" customHeight="1">
      <c r="A167" s="52" t="s">
        <v>1844</v>
      </c>
      <c r="B167" s="43" t="s">
        <v>141</v>
      </c>
      <c r="C167" s="43" t="s">
        <v>1137</v>
      </c>
      <c r="D167" s="61" t="s">
        <v>1606</v>
      </c>
      <c r="E167" s="61"/>
      <c r="F167" s="61"/>
      <c r="G167" s="61"/>
      <c r="H167" s="43" t="s">
        <v>1629</v>
      </c>
      <c r="I167" s="46">
        <v>2114.84</v>
      </c>
      <c r="J167" s="46">
        <v>0</v>
      </c>
      <c r="K167" s="46">
        <f>I167*AO167</f>
        <v>0</v>
      </c>
      <c r="L167" s="46">
        <f>I167*AP167</f>
        <v>0</v>
      </c>
      <c r="M167" s="46">
        <f>I167*J167</f>
        <v>0</v>
      </c>
      <c r="N167" s="46">
        <v>0</v>
      </c>
      <c r="O167" s="6" t="s">
        <v>1149</v>
      </c>
      <c r="Z167" s="46">
        <f>IF(AQ167="5",BJ167,0)</f>
        <v>0</v>
      </c>
      <c r="AB167" s="46">
        <f>IF(AQ167="1",BH167,0)</f>
        <v>0</v>
      </c>
      <c r="AC167" s="46">
        <f>IF(AQ167="1",BI167,0)</f>
        <v>0</v>
      </c>
      <c r="AD167" s="46">
        <f>IF(AQ167="7",BH167,0)</f>
        <v>0</v>
      </c>
      <c r="AE167" s="46">
        <f>IF(AQ167="7",BI167,0)</f>
        <v>0</v>
      </c>
      <c r="AF167" s="46">
        <f>IF(AQ167="2",BH167,0)</f>
        <v>0</v>
      </c>
      <c r="AG167" s="46">
        <f>IF(AQ167="2",BI167,0)</f>
        <v>0</v>
      </c>
      <c r="AH167" s="46">
        <f>IF(AQ167="0",BJ167,0)</f>
        <v>0</v>
      </c>
      <c r="AI167" s="1" t="s">
        <v>141</v>
      </c>
      <c r="AJ167" s="46">
        <f>IF(AN167=0,M167,0)</f>
        <v>0</v>
      </c>
      <c r="AK167" s="46">
        <f>IF(AN167=15,M167,0)</f>
        <v>0</v>
      </c>
      <c r="AL167" s="46">
        <f>IF(AN167=21,M167,0)</f>
        <v>0</v>
      </c>
      <c r="AN167" s="46">
        <v>21</v>
      </c>
      <c r="AO167" s="46">
        <f>J167*0</f>
        <v>0</v>
      </c>
      <c r="AP167" s="46">
        <f>J167*(1-0)</f>
        <v>0</v>
      </c>
      <c r="AQ167" s="42" t="s">
        <v>1648</v>
      </c>
      <c r="AV167" s="46">
        <f>AW167+AX167</f>
        <v>0</v>
      </c>
      <c r="AW167" s="46">
        <f>I167*AO167</f>
        <v>0</v>
      </c>
      <c r="AX167" s="46">
        <f>I167*AP167</f>
        <v>0</v>
      </c>
      <c r="AY167" s="42" t="s">
        <v>1180</v>
      </c>
      <c r="AZ167" s="42" t="s">
        <v>728</v>
      </c>
      <c r="BA167" s="1" t="s">
        <v>1154</v>
      </c>
      <c r="BC167" s="46">
        <f>AW167+AX167</f>
        <v>0</v>
      </c>
      <c r="BD167" s="46">
        <f>J167/(100-BE167)*100</f>
        <v>0</v>
      </c>
      <c r="BE167" s="46">
        <v>0</v>
      </c>
      <c r="BF167" s="46">
        <f>167</f>
        <v>167</v>
      </c>
      <c r="BH167" s="46">
        <f>I167*AO167</f>
        <v>0</v>
      </c>
      <c r="BI167" s="46">
        <f>I167*AP167</f>
        <v>0</v>
      </c>
      <c r="BJ167" s="46">
        <f>I167*J167</f>
        <v>0</v>
      </c>
      <c r="BK167" s="46"/>
      <c r="BL167" s="46">
        <v>15</v>
      </c>
    </row>
    <row r="168" spans="1:15" ht="15" customHeight="1">
      <c r="A168" s="10"/>
      <c r="D168" s="32" t="s">
        <v>490</v>
      </c>
      <c r="G168" s="32" t="s">
        <v>303</v>
      </c>
      <c r="I168" s="58">
        <v>610</v>
      </c>
      <c r="O168" s="30"/>
    </row>
    <row r="169" spans="1:15" ht="15" customHeight="1">
      <c r="A169" s="10"/>
      <c r="D169" s="32" t="s">
        <v>903</v>
      </c>
      <c r="G169" s="32" t="s">
        <v>850</v>
      </c>
      <c r="I169" s="58">
        <v>1504.8400000000001</v>
      </c>
      <c r="O169" s="30"/>
    </row>
    <row r="170" spans="1:64" ht="15" customHeight="1">
      <c r="A170" s="52" t="s">
        <v>357</v>
      </c>
      <c r="B170" s="43" t="s">
        <v>141</v>
      </c>
      <c r="C170" s="43" t="s">
        <v>201</v>
      </c>
      <c r="D170" s="61" t="s">
        <v>494</v>
      </c>
      <c r="E170" s="61"/>
      <c r="F170" s="61"/>
      <c r="G170" s="61"/>
      <c r="H170" s="43" t="s">
        <v>1629</v>
      </c>
      <c r="I170" s="46">
        <v>884</v>
      </c>
      <c r="J170" s="46">
        <v>0</v>
      </c>
      <c r="K170" s="46">
        <f>I170*AO170</f>
        <v>0</v>
      </c>
      <c r="L170" s="46">
        <f>I170*AP170</f>
        <v>0</v>
      </c>
      <c r="M170" s="46">
        <f>I170*J170</f>
        <v>0</v>
      </c>
      <c r="N170" s="46">
        <v>0.00086</v>
      </c>
      <c r="O170" s="6" t="s">
        <v>1149</v>
      </c>
      <c r="Z170" s="46">
        <f>IF(AQ170="5",BJ170,0)</f>
        <v>0</v>
      </c>
      <c r="AB170" s="46">
        <f>IF(AQ170="1",BH170,0)</f>
        <v>0</v>
      </c>
      <c r="AC170" s="46">
        <f>IF(AQ170="1",BI170,0)</f>
        <v>0</v>
      </c>
      <c r="AD170" s="46">
        <f>IF(AQ170="7",BH170,0)</f>
        <v>0</v>
      </c>
      <c r="AE170" s="46">
        <f>IF(AQ170="7",BI170,0)</f>
        <v>0</v>
      </c>
      <c r="AF170" s="46">
        <f>IF(AQ170="2",BH170,0)</f>
        <v>0</v>
      </c>
      <c r="AG170" s="46">
        <f>IF(AQ170="2",BI170,0)</f>
        <v>0</v>
      </c>
      <c r="AH170" s="46">
        <f>IF(AQ170="0",BJ170,0)</f>
        <v>0</v>
      </c>
      <c r="AI170" s="1" t="s">
        <v>141</v>
      </c>
      <c r="AJ170" s="46">
        <f>IF(AN170=0,M170,0)</f>
        <v>0</v>
      </c>
      <c r="AK170" s="46">
        <f>IF(AN170=15,M170,0)</f>
        <v>0</v>
      </c>
      <c r="AL170" s="46">
        <f>IF(AN170=21,M170,0)</f>
        <v>0</v>
      </c>
      <c r="AN170" s="46">
        <v>21</v>
      </c>
      <c r="AO170" s="46">
        <f>J170*0.0997231833910035</f>
        <v>0</v>
      </c>
      <c r="AP170" s="46">
        <f>J170*(1-0.0997231833910035)</f>
        <v>0</v>
      </c>
      <c r="AQ170" s="42" t="s">
        <v>1648</v>
      </c>
      <c r="AV170" s="46">
        <f>AW170+AX170</f>
        <v>0</v>
      </c>
      <c r="AW170" s="46">
        <f>I170*AO170</f>
        <v>0</v>
      </c>
      <c r="AX170" s="46">
        <f>I170*AP170</f>
        <v>0</v>
      </c>
      <c r="AY170" s="42" t="s">
        <v>1180</v>
      </c>
      <c r="AZ170" s="42" t="s">
        <v>728</v>
      </c>
      <c r="BA170" s="1" t="s">
        <v>1154</v>
      </c>
      <c r="BC170" s="46">
        <f>AW170+AX170</f>
        <v>0</v>
      </c>
      <c r="BD170" s="46">
        <f>J170/(100-BE170)*100</f>
        <v>0</v>
      </c>
      <c r="BE170" s="46">
        <v>0</v>
      </c>
      <c r="BF170" s="46">
        <f>170</f>
        <v>170</v>
      </c>
      <c r="BH170" s="46">
        <f>I170*AO170</f>
        <v>0</v>
      </c>
      <c r="BI170" s="46">
        <f>I170*AP170</f>
        <v>0</v>
      </c>
      <c r="BJ170" s="46">
        <f>I170*J170</f>
        <v>0</v>
      </c>
      <c r="BK170" s="46"/>
      <c r="BL170" s="46">
        <v>15</v>
      </c>
    </row>
    <row r="171" spans="1:15" ht="15" customHeight="1">
      <c r="A171" s="10"/>
      <c r="D171" s="32" t="s">
        <v>514</v>
      </c>
      <c r="G171" s="32" t="s">
        <v>1116</v>
      </c>
      <c r="I171" s="58">
        <v>884.0000000000001</v>
      </c>
      <c r="O171" s="30"/>
    </row>
    <row r="172" spans="1:64" ht="15" customHeight="1">
      <c r="A172" s="52" t="s">
        <v>810</v>
      </c>
      <c r="B172" s="43" t="s">
        <v>141</v>
      </c>
      <c r="C172" s="43" t="s">
        <v>619</v>
      </c>
      <c r="D172" s="61" t="s">
        <v>621</v>
      </c>
      <c r="E172" s="61"/>
      <c r="F172" s="61"/>
      <c r="G172" s="61"/>
      <c r="H172" s="43" t="s">
        <v>1629</v>
      </c>
      <c r="I172" s="46">
        <v>914</v>
      </c>
      <c r="J172" s="46">
        <v>0</v>
      </c>
      <c r="K172" s="46">
        <f>I172*AO172</f>
        <v>0</v>
      </c>
      <c r="L172" s="46">
        <f>I172*AP172</f>
        <v>0</v>
      </c>
      <c r="M172" s="46">
        <f>I172*J172</f>
        <v>0</v>
      </c>
      <c r="N172" s="46">
        <v>0</v>
      </c>
      <c r="O172" s="6" t="s">
        <v>1149</v>
      </c>
      <c r="Z172" s="46">
        <f>IF(AQ172="5",BJ172,0)</f>
        <v>0</v>
      </c>
      <c r="AB172" s="46">
        <f>IF(AQ172="1",BH172,0)</f>
        <v>0</v>
      </c>
      <c r="AC172" s="46">
        <f>IF(AQ172="1",BI172,0)</f>
        <v>0</v>
      </c>
      <c r="AD172" s="46">
        <f>IF(AQ172="7",BH172,0)</f>
        <v>0</v>
      </c>
      <c r="AE172" s="46">
        <f>IF(AQ172="7",BI172,0)</f>
        <v>0</v>
      </c>
      <c r="AF172" s="46">
        <f>IF(AQ172="2",BH172,0)</f>
        <v>0</v>
      </c>
      <c r="AG172" s="46">
        <f>IF(AQ172="2",BI172,0)</f>
        <v>0</v>
      </c>
      <c r="AH172" s="46">
        <f>IF(AQ172="0",BJ172,0)</f>
        <v>0</v>
      </c>
      <c r="AI172" s="1" t="s">
        <v>141</v>
      </c>
      <c r="AJ172" s="46">
        <f>IF(AN172=0,M172,0)</f>
        <v>0</v>
      </c>
      <c r="AK172" s="46">
        <f>IF(AN172=15,M172,0)</f>
        <v>0</v>
      </c>
      <c r="AL172" s="46">
        <f>IF(AN172=21,M172,0)</f>
        <v>0</v>
      </c>
      <c r="AN172" s="46">
        <v>21</v>
      </c>
      <c r="AO172" s="46">
        <f>J172*0</f>
        <v>0</v>
      </c>
      <c r="AP172" s="46">
        <f>J172*(1-0)</f>
        <v>0</v>
      </c>
      <c r="AQ172" s="42" t="s">
        <v>1648</v>
      </c>
      <c r="AV172" s="46">
        <f>AW172+AX172</f>
        <v>0</v>
      </c>
      <c r="AW172" s="46">
        <f>I172*AO172</f>
        <v>0</v>
      </c>
      <c r="AX172" s="46">
        <f>I172*AP172</f>
        <v>0</v>
      </c>
      <c r="AY172" s="42" t="s">
        <v>1180</v>
      </c>
      <c r="AZ172" s="42" t="s">
        <v>728</v>
      </c>
      <c r="BA172" s="1" t="s">
        <v>1154</v>
      </c>
      <c r="BC172" s="46">
        <f>AW172+AX172</f>
        <v>0</v>
      </c>
      <c r="BD172" s="46">
        <f>J172/(100-BE172)*100</f>
        <v>0</v>
      </c>
      <c r="BE172" s="46">
        <v>0</v>
      </c>
      <c r="BF172" s="46">
        <f>172</f>
        <v>172</v>
      </c>
      <c r="BH172" s="46">
        <f>I172*AO172</f>
        <v>0</v>
      </c>
      <c r="BI172" s="46">
        <f>I172*AP172</f>
        <v>0</v>
      </c>
      <c r="BJ172" s="46">
        <f>I172*J172</f>
        <v>0</v>
      </c>
      <c r="BK172" s="46"/>
      <c r="BL172" s="46">
        <v>15</v>
      </c>
    </row>
    <row r="173" spans="1:47" ht="15" customHeight="1">
      <c r="A173" s="3" t="s">
        <v>1163</v>
      </c>
      <c r="B173" s="9" t="s">
        <v>141</v>
      </c>
      <c r="C173" s="9" t="s">
        <v>153</v>
      </c>
      <c r="D173" s="64" t="s">
        <v>1379</v>
      </c>
      <c r="E173" s="64"/>
      <c r="F173" s="64"/>
      <c r="G173" s="64"/>
      <c r="H173" s="41" t="s">
        <v>1537</v>
      </c>
      <c r="I173" s="41" t="s">
        <v>1537</v>
      </c>
      <c r="J173" s="41" t="s">
        <v>1537</v>
      </c>
      <c r="K173" s="50">
        <f>SUM(K174:K178)</f>
        <v>0</v>
      </c>
      <c r="L173" s="50">
        <f>SUM(L174:L178)</f>
        <v>0</v>
      </c>
      <c r="M173" s="50">
        <f>SUM(M174:M178)</f>
        <v>0</v>
      </c>
      <c r="N173" s="1" t="s">
        <v>1163</v>
      </c>
      <c r="O173" s="45" t="s">
        <v>1163</v>
      </c>
      <c r="AI173" s="1" t="s">
        <v>141</v>
      </c>
      <c r="AS173" s="50">
        <f>SUM(AJ174:AJ178)</f>
        <v>0</v>
      </c>
      <c r="AT173" s="50">
        <f>SUM(AK174:AK178)</f>
        <v>0</v>
      </c>
      <c r="AU173" s="50">
        <f>SUM(AL174:AL178)</f>
        <v>0</v>
      </c>
    </row>
    <row r="174" spans="1:64" ht="15" customHeight="1">
      <c r="A174" s="52" t="s">
        <v>1834</v>
      </c>
      <c r="B174" s="43" t="s">
        <v>141</v>
      </c>
      <c r="C174" s="43" t="s">
        <v>23</v>
      </c>
      <c r="D174" s="61" t="s">
        <v>1389</v>
      </c>
      <c r="E174" s="61"/>
      <c r="F174" s="61"/>
      <c r="G174" s="61"/>
      <c r="H174" s="43" t="s">
        <v>1604</v>
      </c>
      <c r="I174" s="46">
        <v>532.2699</v>
      </c>
      <c r="J174" s="46">
        <v>0</v>
      </c>
      <c r="K174" s="46">
        <f>I174*AO174</f>
        <v>0</v>
      </c>
      <c r="L174" s="46">
        <f>I174*AP174</f>
        <v>0</v>
      </c>
      <c r="M174" s="46">
        <f>I174*J174</f>
        <v>0</v>
      </c>
      <c r="N174" s="46">
        <v>0</v>
      </c>
      <c r="O174" s="6" t="s">
        <v>1149</v>
      </c>
      <c r="Z174" s="46">
        <f>IF(AQ174="5",BJ174,0)</f>
        <v>0</v>
      </c>
      <c r="AB174" s="46">
        <f>IF(AQ174="1",BH174,0)</f>
        <v>0</v>
      </c>
      <c r="AC174" s="46">
        <f>IF(AQ174="1",BI174,0)</f>
        <v>0</v>
      </c>
      <c r="AD174" s="46">
        <f>IF(AQ174="7",BH174,0)</f>
        <v>0</v>
      </c>
      <c r="AE174" s="46">
        <f>IF(AQ174="7",BI174,0)</f>
        <v>0</v>
      </c>
      <c r="AF174" s="46">
        <f>IF(AQ174="2",BH174,0)</f>
        <v>0</v>
      </c>
      <c r="AG174" s="46">
        <f>IF(AQ174="2",BI174,0)</f>
        <v>0</v>
      </c>
      <c r="AH174" s="46">
        <f>IF(AQ174="0",BJ174,0)</f>
        <v>0</v>
      </c>
      <c r="AI174" s="1" t="s">
        <v>141</v>
      </c>
      <c r="AJ174" s="46">
        <f>IF(AN174=0,M174,0)</f>
        <v>0</v>
      </c>
      <c r="AK174" s="46">
        <f>IF(AN174=15,M174,0)</f>
        <v>0</v>
      </c>
      <c r="AL174" s="46">
        <f>IF(AN174=21,M174,0)</f>
        <v>0</v>
      </c>
      <c r="AN174" s="46">
        <v>21</v>
      </c>
      <c r="AO174" s="46">
        <f>J174*0</f>
        <v>0</v>
      </c>
      <c r="AP174" s="46">
        <f>J174*(1-0)</f>
        <v>0</v>
      </c>
      <c r="AQ174" s="42" t="s">
        <v>1648</v>
      </c>
      <c r="AV174" s="46">
        <f>AW174+AX174</f>
        <v>0</v>
      </c>
      <c r="AW174" s="46">
        <f>I174*AO174</f>
        <v>0</v>
      </c>
      <c r="AX174" s="46">
        <f>I174*AP174</f>
        <v>0</v>
      </c>
      <c r="AY174" s="42" t="s">
        <v>1541</v>
      </c>
      <c r="AZ174" s="42" t="s">
        <v>728</v>
      </c>
      <c r="BA174" s="1" t="s">
        <v>1154</v>
      </c>
      <c r="BC174" s="46">
        <f>AW174+AX174</f>
        <v>0</v>
      </c>
      <c r="BD174" s="46">
        <f>J174/(100-BE174)*100</f>
        <v>0</v>
      </c>
      <c r="BE174" s="46">
        <v>0</v>
      </c>
      <c r="BF174" s="46">
        <f>174</f>
        <v>174</v>
      </c>
      <c r="BH174" s="46">
        <f>I174*AO174</f>
        <v>0</v>
      </c>
      <c r="BI174" s="46">
        <f>I174*AP174</f>
        <v>0</v>
      </c>
      <c r="BJ174" s="46">
        <f>I174*J174</f>
        <v>0</v>
      </c>
      <c r="BK174" s="46"/>
      <c r="BL174" s="46">
        <v>16</v>
      </c>
    </row>
    <row r="175" spans="1:15" ht="15" customHeight="1">
      <c r="A175" s="10"/>
      <c r="D175" s="32" t="s">
        <v>599</v>
      </c>
      <c r="G175" s="32" t="s">
        <v>1024</v>
      </c>
      <c r="I175" s="58">
        <v>359.788</v>
      </c>
      <c r="O175" s="30"/>
    </row>
    <row r="176" spans="1:15" ht="15" customHeight="1">
      <c r="A176" s="10"/>
      <c r="D176" s="32" t="s">
        <v>1628</v>
      </c>
      <c r="G176" s="32" t="s">
        <v>1561</v>
      </c>
      <c r="I176" s="58">
        <v>167.65</v>
      </c>
      <c r="O176" s="30"/>
    </row>
    <row r="177" spans="1:15" ht="15" customHeight="1">
      <c r="A177" s="10"/>
      <c r="D177" s="32" t="s">
        <v>1480</v>
      </c>
      <c r="G177" s="32" t="s">
        <v>1197</v>
      </c>
      <c r="I177" s="58">
        <v>4.8319</v>
      </c>
      <c r="O177" s="30"/>
    </row>
    <row r="178" spans="1:64" ht="15" customHeight="1">
      <c r="A178" s="52" t="s">
        <v>1720</v>
      </c>
      <c r="B178" s="43" t="s">
        <v>141</v>
      </c>
      <c r="C178" s="43" t="s">
        <v>758</v>
      </c>
      <c r="D178" s="61" t="s">
        <v>890</v>
      </c>
      <c r="E178" s="61"/>
      <c r="F178" s="61"/>
      <c r="G178" s="61"/>
      <c r="H178" s="43" t="s">
        <v>1604</v>
      </c>
      <c r="I178" s="46">
        <v>15968.1</v>
      </c>
      <c r="J178" s="46">
        <v>0</v>
      </c>
      <c r="K178" s="46">
        <f>I178*AO178</f>
        <v>0</v>
      </c>
      <c r="L178" s="46">
        <f>I178*AP178</f>
        <v>0</v>
      </c>
      <c r="M178" s="46">
        <f>I178*J178</f>
        <v>0</v>
      </c>
      <c r="N178" s="46">
        <v>0</v>
      </c>
      <c r="O178" s="6" t="s">
        <v>1149</v>
      </c>
      <c r="Z178" s="46">
        <f>IF(AQ178="5",BJ178,0)</f>
        <v>0</v>
      </c>
      <c r="AB178" s="46">
        <f>IF(AQ178="1",BH178,0)</f>
        <v>0</v>
      </c>
      <c r="AC178" s="46">
        <f>IF(AQ178="1",BI178,0)</f>
        <v>0</v>
      </c>
      <c r="AD178" s="46">
        <f>IF(AQ178="7",BH178,0)</f>
        <v>0</v>
      </c>
      <c r="AE178" s="46">
        <f>IF(AQ178="7",BI178,0)</f>
        <v>0</v>
      </c>
      <c r="AF178" s="46">
        <f>IF(AQ178="2",BH178,0)</f>
        <v>0</v>
      </c>
      <c r="AG178" s="46">
        <f>IF(AQ178="2",BI178,0)</f>
        <v>0</v>
      </c>
      <c r="AH178" s="46">
        <f>IF(AQ178="0",BJ178,0)</f>
        <v>0</v>
      </c>
      <c r="AI178" s="1" t="s">
        <v>141</v>
      </c>
      <c r="AJ178" s="46">
        <f>IF(AN178=0,M178,0)</f>
        <v>0</v>
      </c>
      <c r="AK178" s="46">
        <f>IF(AN178=15,M178,0)</f>
        <v>0</v>
      </c>
      <c r="AL178" s="46">
        <f>IF(AN178=21,M178,0)</f>
        <v>0</v>
      </c>
      <c r="AN178" s="46">
        <v>21</v>
      </c>
      <c r="AO178" s="46">
        <f>J178*0</f>
        <v>0</v>
      </c>
      <c r="AP178" s="46">
        <f>J178*(1-0)</f>
        <v>0</v>
      </c>
      <c r="AQ178" s="42" t="s">
        <v>1648</v>
      </c>
      <c r="AV178" s="46">
        <f>AW178+AX178</f>
        <v>0</v>
      </c>
      <c r="AW178" s="46">
        <f>I178*AO178</f>
        <v>0</v>
      </c>
      <c r="AX178" s="46">
        <f>I178*AP178</f>
        <v>0</v>
      </c>
      <c r="AY178" s="42" t="s">
        <v>1541</v>
      </c>
      <c r="AZ178" s="42" t="s">
        <v>728</v>
      </c>
      <c r="BA178" s="1" t="s">
        <v>1154</v>
      </c>
      <c r="BC178" s="46">
        <f>AW178+AX178</f>
        <v>0</v>
      </c>
      <c r="BD178" s="46">
        <f>J178/(100-BE178)*100</f>
        <v>0</v>
      </c>
      <c r="BE178" s="46">
        <v>0</v>
      </c>
      <c r="BF178" s="46">
        <f>178</f>
        <v>178</v>
      </c>
      <c r="BH178" s="46">
        <f>I178*AO178</f>
        <v>0</v>
      </c>
      <c r="BI178" s="46">
        <f>I178*AP178</f>
        <v>0</v>
      </c>
      <c r="BJ178" s="46">
        <f>I178*J178</f>
        <v>0</v>
      </c>
      <c r="BK178" s="46"/>
      <c r="BL178" s="46">
        <v>16</v>
      </c>
    </row>
    <row r="179" spans="1:15" ht="15" customHeight="1">
      <c r="A179" s="10"/>
      <c r="D179" s="32" t="s">
        <v>710</v>
      </c>
      <c r="G179" s="32" t="s">
        <v>1688</v>
      </c>
      <c r="I179" s="58">
        <v>15968.100000000002</v>
      </c>
      <c r="O179" s="30"/>
    </row>
    <row r="180" spans="1:47" ht="15" customHeight="1">
      <c r="A180" s="3" t="s">
        <v>1163</v>
      </c>
      <c r="B180" s="9" t="s">
        <v>141</v>
      </c>
      <c r="C180" s="9" t="s">
        <v>1169</v>
      </c>
      <c r="D180" s="64" t="s">
        <v>225</v>
      </c>
      <c r="E180" s="64"/>
      <c r="F180" s="64"/>
      <c r="G180" s="64"/>
      <c r="H180" s="41" t="s">
        <v>1537</v>
      </c>
      <c r="I180" s="41" t="s">
        <v>1537</v>
      </c>
      <c r="J180" s="41" t="s">
        <v>1537</v>
      </c>
      <c r="K180" s="50">
        <f>SUM(K181:K184)</f>
        <v>0</v>
      </c>
      <c r="L180" s="50">
        <f>SUM(L181:L184)</f>
        <v>0</v>
      </c>
      <c r="M180" s="50">
        <f>SUM(M181:M184)</f>
        <v>0</v>
      </c>
      <c r="N180" s="1" t="s">
        <v>1163</v>
      </c>
      <c r="O180" s="45" t="s">
        <v>1163</v>
      </c>
      <c r="AI180" s="1" t="s">
        <v>141</v>
      </c>
      <c r="AS180" s="50">
        <f>SUM(AJ181:AJ184)</f>
        <v>0</v>
      </c>
      <c r="AT180" s="50">
        <f>SUM(AK181:AK184)</f>
        <v>0</v>
      </c>
      <c r="AU180" s="50">
        <f>SUM(AL181:AL184)</f>
        <v>0</v>
      </c>
    </row>
    <row r="181" spans="1:64" ht="15" customHeight="1">
      <c r="A181" s="52" t="s">
        <v>28</v>
      </c>
      <c r="B181" s="43" t="s">
        <v>141</v>
      </c>
      <c r="C181" s="43" t="s">
        <v>1450</v>
      </c>
      <c r="D181" s="61" t="s">
        <v>47</v>
      </c>
      <c r="E181" s="61"/>
      <c r="F181" s="61"/>
      <c r="G181" s="61"/>
      <c r="H181" s="43" t="s">
        <v>1604</v>
      </c>
      <c r="I181" s="46">
        <v>335.042</v>
      </c>
      <c r="J181" s="46">
        <v>0</v>
      </c>
      <c r="K181" s="46">
        <f>I181*AO181</f>
        <v>0</v>
      </c>
      <c r="L181" s="46">
        <f>I181*AP181</f>
        <v>0</v>
      </c>
      <c r="M181" s="46">
        <f>I181*J181</f>
        <v>0</v>
      </c>
      <c r="N181" s="46">
        <v>1.7</v>
      </c>
      <c r="O181" s="6" t="s">
        <v>1149</v>
      </c>
      <c r="Z181" s="46">
        <f>IF(AQ181="5",BJ181,0)</f>
        <v>0</v>
      </c>
      <c r="AB181" s="46">
        <f>IF(AQ181="1",BH181,0)</f>
        <v>0</v>
      </c>
      <c r="AC181" s="46">
        <f>IF(AQ181="1",BI181,0)</f>
        <v>0</v>
      </c>
      <c r="AD181" s="46">
        <f>IF(AQ181="7",BH181,0)</f>
        <v>0</v>
      </c>
      <c r="AE181" s="46">
        <f>IF(AQ181="7",BI181,0)</f>
        <v>0</v>
      </c>
      <c r="AF181" s="46">
        <f>IF(AQ181="2",BH181,0)</f>
        <v>0</v>
      </c>
      <c r="AG181" s="46">
        <f>IF(AQ181="2",BI181,0)</f>
        <v>0</v>
      </c>
      <c r="AH181" s="46">
        <f>IF(AQ181="0",BJ181,0)</f>
        <v>0</v>
      </c>
      <c r="AI181" s="1" t="s">
        <v>141</v>
      </c>
      <c r="AJ181" s="46">
        <f>IF(AN181=0,M181,0)</f>
        <v>0</v>
      </c>
      <c r="AK181" s="46">
        <f>IF(AN181=15,M181,0)</f>
        <v>0</v>
      </c>
      <c r="AL181" s="46">
        <f>IF(AN181=21,M181,0)</f>
        <v>0</v>
      </c>
      <c r="AN181" s="46">
        <v>21</v>
      </c>
      <c r="AO181" s="46">
        <f>J181*0.503380662424104</f>
        <v>0</v>
      </c>
      <c r="AP181" s="46">
        <f>J181*(1-0.503380662424104)</f>
        <v>0</v>
      </c>
      <c r="AQ181" s="42" t="s">
        <v>1648</v>
      </c>
      <c r="AV181" s="46">
        <f>AW181+AX181</f>
        <v>0</v>
      </c>
      <c r="AW181" s="46">
        <f>I181*AO181</f>
        <v>0</v>
      </c>
      <c r="AX181" s="46">
        <f>I181*AP181</f>
        <v>0</v>
      </c>
      <c r="AY181" s="42" t="s">
        <v>319</v>
      </c>
      <c r="AZ181" s="42" t="s">
        <v>728</v>
      </c>
      <c r="BA181" s="1" t="s">
        <v>1154</v>
      </c>
      <c r="BC181" s="46">
        <f>AW181+AX181</f>
        <v>0</v>
      </c>
      <c r="BD181" s="46">
        <f>J181/(100-BE181)*100</f>
        <v>0</v>
      </c>
      <c r="BE181" s="46">
        <v>0</v>
      </c>
      <c r="BF181" s="46">
        <f>181</f>
        <v>181</v>
      </c>
      <c r="BH181" s="46">
        <f>I181*AO181</f>
        <v>0</v>
      </c>
      <c r="BI181" s="46">
        <f>I181*AP181</f>
        <v>0</v>
      </c>
      <c r="BJ181" s="46">
        <f>I181*J181</f>
        <v>0</v>
      </c>
      <c r="BK181" s="46"/>
      <c r="BL181" s="46">
        <v>17</v>
      </c>
    </row>
    <row r="182" spans="1:15" ht="15" customHeight="1">
      <c r="A182" s="10"/>
      <c r="D182" s="32" t="s">
        <v>399</v>
      </c>
      <c r="G182" s="32" t="s">
        <v>1663</v>
      </c>
      <c r="I182" s="58">
        <v>193.41000000000003</v>
      </c>
      <c r="O182" s="30"/>
    </row>
    <row r="183" spans="1:15" ht="15" customHeight="1">
      <c r="A183" s="10"/>
      <c r="D183" s="32" t="s">
        <v>611</v>
      </c>
      <c r="G183" s="32" t="s">
        <v>1623</v>
      </c>
      <c r="I183" s="58">
        <v>141.632</v>
      </c>
      <c r="O183" s="30"/>
    </row>
    <row r="184" spans="1:64" ht="15" customHeight="1">
      <c r="A184" s="52" t="s">
        <v>272</v>
      </c>
      <c r="B184" s="43" t="s">
        <v>141</v>
      </c>
      <c r="C184" s="43" t="s">
        <v>1227</v>
      </c>
      <c r="D184" s="61" t="s">
        <v>862</v>
      </c>
      <c r="E184" s="61"/>
      <c r="F184" s="61"/>
      <c r="G184" s="61"/>
      <c r="H184" s="43" t="s">
        <v>1604</v>
      </c>
      <c r="I184" s="46">
        <v>1053.69066</v>
      </c>
      <c r="J184" s="46">
        <v>0</v>
      </c>
      <c r="K184" s="46">
        <f>I184*AO184</f>
        <v>0</v>
      </c>
      <c r="L184" s="46">
        <f>I184*AP184</f>
        <v>0</v>
      </c>
      <c r="M184" s="46">
        <f>I184*J184</f>
        <v>0</v>
      </c>
      <c r="N184" s="46">
        <v>0</v>
      </c>
      <c r="O184" s="6" t="s">
        <v>1149</v>
      </c>
      <c r="Z184" s="46">
        <f>IF(AQ184="5",BJ184,0)</f>
        <v>0</v>
      </c>
      <c r="AB184" s="46">
        <f>IF(AQ184="1",BH184,0)</f>
        <v>0</v>
      </c>
      <c r="AC184" s="46">
        <f>IF(AQ184="1",BI184,0)</f>
        <v>0</v>
      </c>
      <c r="AD184" s="46">
        <f>IF(AQ184="7",BH184,0)</f>
        <v>0</v>
      </c>
      <c r="AE184" s="46">
        <f>IF(AQ184="7",BI184,0)</f>
        <v>0</v>
      </c>
      <c r="AF184" s="46">
        <f>IF(AQ184="2",BH184,0)</f>
        <v>0</v>
      </c>
      <c r="AG184" s="46">
        <f>IF(AQ184="2",BI184,0)</f>
        <v>0</v>
      </c>
      <c r="AH184" s="46">
        <f>IF(AQ184="0",BJ184,0)</f>
        <v>0</v>
      </c>
      <c r="AI184" s="1" t="s">
        <v>141</v>
      </c>
      <c r="AJ184" s="46">
        <f>IF(AN184=0,M184,0)</f>
        <v>0</v>
      </c>
      <c r="AK184" s="46">
        <f>IF(AN184=15,M184,0)</f>
        <v>0</v>
      </c>
      <c r="AL184" s="46">
        <f>IF(AN184=21,M184,0)</f>
        <v>0</v>
      </c>
      <c r="AN184" s="46">
        <v>21</v>
      </c>
      <c r="AO184" s="46">
        <f>J184*0</f>
        <v>0</v>
      </c>
      <c r="AP184" s="46">
        <f>J184*(1-0)</f>
        <v>0</v>
      </c>
      <c r="AQ184" s="42" t="s">
        <v>1648</v>
      </c>
      <c r="AV184" s="46">
        <f>AW184+AX184</f>
        <v>0</v>
      </c>
      <c r="AW184" s="46">
        <f>I184*AO184</f>
        <v>0</v>
      </c>
      <c r="AX184" s="46">
        <f>I184*AP184</f>
        <v>0</v>
      </c>
      <c r="AY184" s="42" t="s">
        <v>319</v>
      </c>
      <c r="AZ184" s="42" t="s">
        <v>728</v>
      </c>
      <c r="BA184" s="1" t="s">
        <v>1154</v>
      </c>
      <c r="BC184" s="46">
        <f>AW184+AX184</f>
        <v>0</v>
      </c>
      <c r="BD184" s="46">
        <f>J184/(100-BE184)*100</f>
        <v>0</v>
      </c>
      <c r="BE184" s="46">
        <v>0</v>
      </c>
      <c r="BF184" s="46">
        <f>184</f>
        <v>184</v>
      </c>
      <c r="BH184" s="46">
        <f>I184*AO184</f>
        <v>0</v>
      </c>
      <c r="BI184" s="46">
        <f>I184*AP184</f>
        <v>0</v>
      </c>
      <c r="BJ184" s="46">
        <f>I184*J184</f>
        <v>0</v>
      </c>
      <c r="BK184" s="46"/>
      <c r="BL184" s="46">
        <v>17</v>
      </c>
    </row>
    <row r="185" spans="1:15" ht="15" customHeight="1">
      <c r="A185" s="10"/>
      <c r="D185" s="32" t="s">
        <v>44</v>
      </c>
      <c r="G185" s="32" t="s">
        <v>821</v>
      </c>
      <c r="I185" s="58">
        <v>1413.478</v>
      </c>
      <c r="O185" s="30"/>
    </row>
    <row r="186" spans="1:15" ht="15" customHeight="1">
      <c r="A186" s="10"/>
      <c r="D186" s="32" t="s">
        <v>361</v>
      </c>
      <c r="G186" s="32" t="s">
        <v>1148</v>
      </c>
      <c r="I186" s="58">
        <v>-451.79800000000006</v>
      </c>
      <c r="O186" s="30"/>
    </row>
    <row r="187" spans="1:15" ht="15" customHeight="1">
      <c r="A187" s="10"/>
      <c r="D187" s="32" t="s">
        <v>517</v>
      </c>
      <c r="G187" s="32" t="s">
        <v>770</v>
      </c>
      <c r="I187" s="58">
        <v>-38.62451</v>
      </c>
      <c r="O187" s="30"/>
    </row>
    <row r="188" spans="1:15" ht="15" customHeight="1">
      <c r="A188" s="10"/>
      <c r="D188" s="32" t="s">
        <v>1823</v>
      </c>
      <c r="G188" s="32" t="s">
        <v>468</v>
      </c>
      <c r="I188" s="58">
        <v>-37.016830000000006</v>
      </c>
      <c r="O188" s="30"/>
    </row>
    <row r="189" spans="1:15" ht="15" customHeight="1">
      <c r="A189" s="10"/>
      <c r="D189" s="32" t="s">
        <v>1118</v>
      </c>
      <c r="G189" s="32" t="s">
        <v>463</v>
      </c>
      <c r="I189" s="58">
        <v>167.65200000000002</v>
      </c>
      <c r="O189" s="30"/>
    </row>
    <row r="190" spans="1:47" ht="15" customHeight="1">
      <c r="A190" s="3" t="s">
        <v>1163</v>
      </c>
      <c r="B190" s="9" t="s">
        <v>141</v>
      </c>
      <c r="C190" s="9" t="s">
        <v>1333</v>
      </c>
      <c r="D190" s="64" t="s">
        <v>1677</v>
      </c>
      <c r="E190" s="64"/>
      <c r="F190" s="64"/>
      <c r="G190" s="64"/>
      <c r="H190" s="41" t="s">
        <v>1537</v>
      </c>
      <c r="I190" s="41" t="s">
        <v>1537</v>
      </c>
      <c r="J190" s="41" t="s">
        <v>1537</v>
      </c>
      <c r="K190" s="50">
        <f>SUM(K191:K193)</f>
        <v>0</v>
      </c>
      <c r="L190" s="50">
        <f>SUM(L191:L193)</f>
        <v>0</v>
      </c>
      <c r="M190" s="50">
        <f>SUM(M191:M193)</f>
        <v>0</v>
      </c>
      <c r="N190" s="1" t="s">
        <v>1163</v>
      </c>
      <c r="O190" s="45" t="s">
        <v>1163</v>
      </c>
      <c r="AI190" s="1" t="s">
        <v>141</v>
      </c>
      <c r="AS190" s="50">
        <f>SUM(AJ191:AJ193)</f>
        <v>0</v>
      </c>
      <c r="AT190" s="50">
        <f>SUM(AK191:AK193)</f>
        <v>0</v>
      </c>
      <c r="AU190" s="50">
        <f>SUM(AL191:AL193)</f>
        <v>0</v>
      </c>
    </row>
    <row r="191" spans="1:64" ht="15" customHeight="1">
      <c r="A191" s="52" t="s">
        <v>328</v>
      </c>
      <c r="B191" s="43" t="s">
        <v>141</v>
      </c>
      <c r="C191" s="43" t="s">
        <v>878</v>
      </c>
      <c r="D191" s="61" t="s">
        <v>1330</v>
      </c>
      <c r="E191" s="61"/>
      <c r="F191" s="61"/>
      <c r="G191" s="61"/>
      <c r="H191" s="43" t="s">
        <v>1629</v>
      </c>
      <c r="I191" s="46">
        <v>260</v>
      </c>
      <c r="J191" s="46">
        <v>0</v>
      </c>
      <c r="K191" s="46">
        <f>I191*AO191</f>
        <v>0</v>
      </c>
      <c r="L191" s="46">
        <f>I191*AP191</f>
        <v>0</v>
      </c>
      <c r="M191" s="46">
        <f>I191*J191</f>
        <v>0</v>
      </c>
      <c r="N191" s="46">
        <v>3E-05</v>
      </c>
      <c r="O191" s="6" t="s">
        <v>1149</v>
      </c>
      <c r="Z191" s="46">
        <f>IF(AQ191="5",BJ191,0)</f>
        <v>0</v>
      </c>
      <c r="AB191" s="46">
        <f>IF(AQ191="1",BH191,0)</f>
        <v>0</v>
      </c>
      <c r="AC191" s="46">
        <f>IF(AQ191="1",BI191,0)</f>
        <v>0</v>
      </c>
      <c r="AD191" s="46">
        <f>IF(AQ191="7",BH191,0)</f>
        <v>0</v>
      </c>
      <c r="AE191" s="46">
        <f>IF(AQ191="7",BI191,0)</f>
        <v>0</v>
      </c>
      <c r="AF191" s="46">
        <f>IF(AQ191="2",BH191,0)</f>
        <v>0</v>
      </c>
      <c r="AG191" s="46">
        <f>IF(AQ191="2",BI191,0)</f>
        <v>0</v>
      </c>
      <c r="AH191" s="46">
        <f>IF(AQ191="0",BJ191,0)</f>
        <v>0</v>
      </c>
      <c r="AI191" s="1" t="s">
        <v>141</v>
      </c>
      <c r="AJ191" s="46">
        <f>IF(AN191=0,M191,0)</f>
        <v>0</v>
      </c>
      <c r="AK191" s="46">
        <f>IF(AN191=15,M191,0)</f>
        <v>0</v>
      </c>
      <c r="AL191" s="46">
        <f>IF(AN191=21,M191,0)</f>
        <v>0</v>
      </c>
      <c r="AN191" s="46">
        <v>21</v>
      </c>
      <c r="AO191" s="46">
        <f>J191*0.0401051939513478</f>
        <v>0</v>
      </c>
      <c r="AP191" s="46">
        <f>J191*(1-0.0401051939513478)</f>
        <v>0</v>
      </c>
      <c r="AQ191" s="42" t="s">
        <v>1648</v>
      </c>
      <c r="AV191" s="46">
        <f>AW191+AX191</f>
        <v>0</v>
      </c>
      <c r="AW191" s="46">
        <f>I191*AO191</f>
        <v>0</v>
      </c>
      <c r="AX191" s="46">
        <f>I191*AP191</f>
        <v>0</v>
      </c>
      <c r="AY191" s="42" t="s">
        <v>814</v>
      </c>
      <c r="AZ191" s="42" t="s">
        <v>728</v>
      </c>
      <c r="BA191" s="1" t="s">
        <v>1154</v>
      </c>
      <c r="BC191" s="46">
        <f>AW191+AX191</f>
        <v>0</v>
      </c>
      <c r="BD191" s="46">
        <f>J191/(100-BE191)*100</f>
        <v>0</v>
      </c>
      <c r="BE191" s="46">
        <v>0</v>
      </c>
      <c r="BF191" s="46">
        <f>191</f>
        <v>191</v>
      </c>
      <c r="BH191" s="46">
        <f>I191*AO191</f>
        <v>0</v>
      </c>
      <c r="BI191" s="46">
        <f>I191*AP191</f>
        <v>0</v>
      </c>
      <c r="BJ191" s="46">
        <f>I191*J191</f>
        <v>0</v>
      </c>
      <c r="BK191" s="46"/>
      <c r="BL191" s="46">
        <v>18</v>
      </c>
    </row>
    <row r="192" spans="1:15" ht="15" customHeight="1">
      <c r="A192" s="10"/>
      <c r="D192" s="32" t="s">
        <v>95</v>
      </c>
      <c r="G192" s="32" t="s">
        <v>1781</v>
      </c>
      <c r="I192" s="58">
        <v>260</v>
      </c>
      <c r="O192" s="30"/>
    </row>
    <row r="193" spans="1:64" ht="15" customHeight="1">
      <c r="A193" s="52" t="s">
        <v>1322</v>
      </c>
      <c r="B193" s="43" t="s">
        <v>141</v>
      </c>
      <c r="C193" s="43" t="s">
        <v>1686</v>
      </c>
      <c r="D193" s="61" t="s">
        <v>1779</v>
      </c>
      <c r="E193" s="61"/>
      <c r="F193" s="61"/>
      <c r="G193" s="61"/>
      <c r="H193" s="43" t="s">
        <v>1574</v>
      </c>
      <c r="I193" s="46">
        <v>5.2</v>
      </c>
      <c r="J193" s="46">
        <v>0</v>
      </c>
      <c r="K193" s="46">
        <f>I193*AO193</f>
        <v>0</v>
      </c>
      <c r="L193" s="46">
        <f>I193*AP193</f>
        <v>0</v>
      </c>
      <c r="M193" s="46">
        <f>I193*J193</f>
        <v>0</v>
      </c>
      <c r="N193" s="46">
        <v>0.001</v>
      </c>
      <c r="O193" s="6" t="s">
        <v>1149</v>
      </c>
      <c r="Z193" s="46">
        <f>IF(AQ193="5",BJ193,0)</f>
        <v>0</v>
      </c>
      <c r="AB193" s="46">
        <f>IF(AQ193="1",BH193,0)</f>
        <v>0</v>
      </c>
      <c r="AC193" s="46">
        <f>IF(AQ193="1",BI193,0)</f>
        <v>0</v>
      </c>
      <c r="AD193" s="46">
        <f>IF(AQ193="7",BH193,0)</f>
        <v>0</v>
      </c>
      <c r="AE193" s="46">
        <f>IF(AQ193="7",BI193,0)</f>
        <v>0</v>
      </c>
      <c r="AF193" s="46">
        <f>IF(AQ193="2",BH193,0)</f>
        <v>0</v>
      </c>
      <c r="AG193" s="46">
        <f>IF(AQ193="2",BI193,0)</f>
        <v>0</v>
      </c>
      <c r="AH193" s="46">
        <f>IF(AQ193="0",BJ193,0)</f>
        <v>0</v>
      </c>
      <c r="AI193" s="1" t="s">
        <v>141</v>
      </c>
      <c r="AJ193" s="46">
        <f>IF(AN193=0,M193,0)</f>
        <v>0</v>
      </c>
      <c r="AK193" s="46">
        <f>IF(AN193=15,M193,0)</f>
        <v>0</v>
      </c>
      <c r="AL193" s="46">
        <f>IF(AN193=21,M193,0)</f>
        <v>0</v>
      </c>
      <c r="AN193" s="46">
        <v>21</v>
      </c>
      <c r="AO193" s="46">
        <f>J193*1</f>
        <v>0</v>
      </c>
      <c r="AP193" s="46">
        <f>J193*(1-1)</f>
        <v>0</v>
      </c>
      <c r="AQ193" s="42" t="s">
        <v>1648</v>
      </c>
      <c r="AV193" s="46">
        <f>AW193+AX193</f>
        <v>0</v>
      </c>
      <c r="AW193" s="46">
        <f>I193*AO193</f>
        <v>0</v>
      </c>
      <c r="AX193" s="46">
        <f>I193*AP193</f>
        <v>0</v>
      </c>
      <c r="AY193" s="42" t="s">
        <v>814</v>
      </c>
      <c r="AZ193" s="42" t="s">
        <v>728</v>
      </c>
      <c r="BA193" s="1" t="s">
        <v>1154</v>
      </c>
      <c r="BC193" s="46">
        <f>AW193+AX193</f>
        <v>0</v>
      </c>
      <c r="BD193" s="46">
        <f>J193/(100-BE193)*100</f>
        <v>0</v>
      </c>
      <c r="BE193" s="46">
        <v>0</v>
      </c>
      <c r="BF193" s="46">
        <f>193</f>
        <v>193</v>
      </c>
      <c r="BH193" s="46">
        <f>I193*AO193</f>
        <v>0</v>
      </c>
      <c r="BI193" s="46">
        <f>I193*AP193</f>
        <v>0</v>
      </c>
      <c r="BJ193" s="46">
        <f>I193*J193</f>
        <v>0</v>
      </c>
      <c r="BK193" s="46"/>
      <c r="BL193" s="46">
        <v>18</v>
      </c>
    </row>
    <row r="194" spans="1:15" ht="15" customHeight="1">
      <c r="A194" s="10"/>
      <c r="D194" s="32" t="s">
        <v>1831</v>
      </c>
      <c r="G194" s="32" t="s">
        <v>1163</v>
      </c>
      <c r="I194" s="58">
        <v>5.2</v>
      </c>
      <c r="O194" s="30"/>
    </row>
    <row r="195" spans="1:47" ht="15" customHeight="1">
      <c r="A195" s="3" t="s">
        <v>1163</v>
      </c>
      <c r="B195" s="9" t="s">
        <v>141</v>
      </c>
      <c r="C195" s="9" t="s">
        <v>1070</v>
      </c>
      <c r="D195" s="64" t="s">
        <v>567</v>
      </c>
      <c r="E195" s="64"/>
      <c r="F195" s="64"/>
      <c r="G195" s="64"/>
      <c r="H195" s="41" t="s">
        <v>1537</v>
      </c>
      <c r="I195" s="41" t="s">
        <v>1537</v>
      </c>
      <c r="J195" s="41" t="s">
        <v>1537</v>
      </c>
      <c r="K195" s="50">
        <f>SUM(K196:K196)</f>
        <v>0</v>
      </c>
      <c r="L195" s="50">
        <f>SUM(L196:L196)</f>
        <v>0</v>
      </c>
      <c r="M195" s="50">
        <f>SUM(M196:M196)</f>
        <v>0</v>
      </c>
      <c r="N195" s="1" t="s">
        <v>1163</v>
      </c>
      <c r="O195" s="45" t="s">
        <v>1163</v>
      </c>
      <c r="AI195" s="1" t="s">
        <v>141</v>
      </c>
      <c r="AS195" s="50">
        <f>SUM(AJ196:AJ196)</f>
        <v>0</v>
      </c>
      <c r="AT195" s="50">
        <f>SUM(AK196:AK196)</f>
        <v>0</v>
      </c>
      <c r="AU195" s="50">
        <f>SUM(AL196:AL196)</f>
        <v>0</v>
      </c>
    </row>
    <row r="196" spans="1:64" ht="15" customHeight="1">
      <c r="A196" s="52" t="s">
        <v>152</v>
      </c>
      <c r="B196" s="43" t="s">
        <v>141</v>
      </c>
      <c r="C196" s="43" t="s">
        <v>1145</v>
      </c>
      <c r="D196" s="61" t="s">
        <v>1601</v>
      </c>
      <c r="E196" s="61"/>
      <c r="F196" s="61"/>
      <c r="G196" s="61"/>
      <c r="H196" s="43" t="s">
        <v>1604</v>
      </c>
      <c r="I196" s="46">
        <v>527.438</v>
      </c>
      <c r="J196" s="46">
        <v>0</v>
      </c>
      <c r="K196" s="46">
        <f>I196*AO196</f>
        <v>0</v>
      </c>
      <c r="L196" s="46">
        <f>I196*AP196</f>
        <v>0</v>
      </c>
      <c r="M196" s="46">
        <f>I196*J196</f>
        <v>0</v>
      </c>
      <c r="N196" s="46">
        <v>0</v>
      </c>
      <c r="O196" s="6" t="s">
        <v>1149</v>
      </c>
      <c r="Z196" s="46">
        <f>IF(AQ196="5",BJ196,0)</f>
        <v>0</v>
      </c>
      <c r="AB196" s="46">
        <f>IF(AQ196="1",BH196,0)</f>
        <v>0</v>
      </c>
      <c r="AC196" s="46">
        <f>IF(AQ196="1",BI196,0)</f>
        <v>0</v>
      </c>
      <c r="AD196" s="46">
        <f>IF(AQ196="7",BH196,0)</f>
        <v>0</v>
      </c>
      <c r="AE196" s="46">
        <f>IF(AQ196="7",BI196,0)</f>
        <v>0</v>
      </c>
      <c r="AF196" s="46">
        <f>IF(AQ196="2",BH196,0)</f>
        <v>0</v>
      </c>
      <c r="AG196" s="46">
        <f>IF(AQ196="2",BI196,0)</f>
        <v>0</v>
      </c>
      <c r="AH196" s="46">
        <f>IF(AQ196="0",BJ196,0)</f>
        <v>0</v>
      </c>
      <c r="AI196" s="1" t="s">
        <v>141</v>
      </c>
      <c r="AJ196" s="46">
        <f>IF(AN196=0,M196,0)</f>
        <v>0</v>
      </c>
      <c r="AK196" s="46">
        <f>IF(AN196=15,M196,0)</f>
        <v>0</v>
      </c>
      <c r="AL196" s="46">
        <f>IF(AN196=21,M196,0)</f>
        <v>0</v>
      </c>
      <c r="AN196" s="46">
        <v>21</v>
      </c>
      <c r="AO196" s="46">
        <f>J196*0</f>
        <v>0</v>
      </c>
      <c r="AP196" s="46">
        <f>J196*(1-0)</f>
        <v>0</v>
      </c>
      <c r="AQ196" s="42" t="s">
        <v>1648</v>
      </c>
      <c r="AV196" s="46">
        <f>AW196+AX196</f>
        <v>0</v>
      </c>
      <c r="AW196" s="46">
        <f>I196*AO196</f>
        <v>0</v>
      </c>
      <c r="AX196" s="46">
        <f>I196*AP196</f>
        <v>0</v>
      </c>
      <c r="AY196" s="42" t="s">
        <v>1313</v>
      </c>
      <c r="AZ196" s="42" t="s">
        <v>728</v>
      </c>
      <c r="BA196" s="1" t="s">
        <v>1154</v>
      </c>
      <c r="BC196" s="46">
        <f>AW196+AX196</f>
        <v>0</v>
      </c>
      <c r="BD196" s="46">
        <f>J196/(100-BE196)*100</f>
        <v>0</v>
      </c>
      <c r="BE196" s="46">
        <v>0</v>
      </c>
      <c r="BF196" s="46">
        <f>196</f>
        <v>196</v>
      </c>
      <c r="BH196" s="46">
        <f>I196*AO196</f>
        <v>0</v>
      </c>
      <c r="BI196" s="46">
        <f>I196*AP196</f>
        <v>0</v>
      </c>
      <c r="BJ196" s="46">
        <f>I196*J196</f>
        <v>0</v>
      </c>
      <c r="BK196" s="46"/>
      <c r="BL196" s="46">
        <v>19</v>
      </c>
    </row>
    <row r="197" spans="1:15" ht="15" customHeight="1">
      <c r="A197" s="10"/>
      <c r="D197" s="32" t="s">
        <v>129</v>
      </c>
      <c r="G197" s="32" t="s">
        <v>1398</v>
      </c>
      <c r="I197" s="58">
        <v>527.438</v>
      </c>
      <c r="O197" s="30"/>
    </row>
    <row r="198" spans="1:47" ht="15" customHeight="1">
      <c r="A198" s="3" t="s">
        <v>1163</v>
      </c>
      <c r="B198" s="9" t="s">
        <v>141</v>
      </c>
      <c r="C198" s="9" t="s">
        <v>572</v>
      </c>
      <c r="D198" s="64" t="s">
        <v>1299</v>
      </c>
      <c r="E198" s="64"/>
      <c r="F198" s="64"/>
      <c r="G198" s="64"/>
      <c r="H198" s="41" t="s">
        <v>1537</v>
      </c>
      <c r="I198" s="41" t="s">
        <v>1537</v>
      </c>
      <c r="J198" s="41" t="s">
        <v>1537</v>
      </c>
      <c r="K198" s="50">
        <f>SUM(K199:K202)</f>
        <v>0</v>
      </c>
      <c r="L198" s="50">
        <f>SUM(L199:L202)</f>
        <v>0</v>
      </c>
      <c r="M198" s="50">
        <f>SUM(M199:M202)</f>
        <v>0</v>
      </c>
      <c r="N198" s="1" t="s">
        <v>1163</v>
      </c>
      <c r="O198" s="45" t="s">
        <v>1163</v>
      </c>
      <c r="AI198" s="1" t="s">
        <v>141</v>
      </c>
      <c r="AS198" s="50">
        <f>SUM(AJ199:AJ202)</f>
        <v>0</v>
      </c>
      <c r="AT198" s="50">
        <f>SUM(AK199:AK202)</f>
        <v>0</v>
      </c>
      <c r="AU198" s="50">
        <f>SUM(AL199:AL202)</f>
        <v>0</v>
      </c>
    </row>
    <row r="199" spans="1:64" ht="15" customHeight="1">
      <c r="A199" s="52" t="s">
        <v>1305</v>
      </c>
      <c r="B199" s="43" t="s">
        <v>141</v>
      </c>
      <c r="C199" s="43" t="s">
        <v>1186</v>
      </c>
      <c r="D199" s="61" t="s">
        <v>474</v>
      </c>
      <c r="E199" s="61"/>
      <c r="F199" s="61"/>
      <c r="G199" s="61"/>
      <c r="H199" s="43" t="s">
        <v>1604</v>
      </c>
      <c r="I199" s="46">
        <v>113.156</v>
      </c>
      <c r="J199" s="46">
        <v>0</v>
      </c>
      <c r="K199" s="46">
        <f>I199*AO199</f>
        <v>0</v>
      </c>
      <c r="L199" s="46">
        <f>I199*AP199</f>
        <v>0</v>
      </c>
      <c r="M199" s="46">
        <f>I199*J199</f>
        <v>0</v>
      </c>
      <c r="N199" s="46">
        <v>1.89077</v>
      </c>
      <c r="O199" s="6" t="s">
        <v>1149</v>
      </c>
      <c r="Z199" s="46">
        <f>IF(AQ199="5",BJ199,0)</f>
        <v>0</v>
      </c>
      <c r="AB199" s="46">
        <f>IF(AQ199="1",BH199,0)</f>
        <v>0</v>
      </c>
      <c r="AC199" s="46">
        <f>IF(AQ199="1",BI199,0)</f>
        <v>0</v>
      </c>
      <c r="AD199" s="46">
        <f>IF(AQ199="7",BH199,0)</f>
        <v>0</v>
      </c>
      <c r="AE199" s="46">
        <f>IF(AQ199="7",BI199,0)</f>
        <v>0</v>
      </c>
      <c r="AF199" s="46">
        <f>IF(AQ199="2",BH199,0)</f>
        <v>0</v>
      </c>
      <c r="AG199" s="46">
        <f>IF(AQ199="2",BI199,0)</f>
        <v>0</v>
      </c>
      <c r="AH199" s="46">
        <f>IF(AQ199="0",BJ199,0)</f>
        <v>0</v>
      </c>
      <c r="AI199" s="1" t="s">
        <v>141</v>
      </c>
      <c r="AJ199" s="46">
        <f>IF(AN199=0,M199,0)</f>
        <v>0</v>
      </c>
      <c r="AK199" s="46">
        <f>IF(AN199=15,M199,0)</f>
        <v>0</v>
      </c>
      <c r="AL199" s="46">
        <f>IF(AN199=21,M199,0)</f>
        <v>0</v>
      </c>
      <c r="AN199" s="46">
        <v>21</v>
      </c>
      <c r="AO199" s="46">
        <f>J199*0.480904570512608</f>
        <v>0</v>
      </c>
      <c r="AP199" s="46">
        <f>J199*(1-0.480904570512608)</f>
        <v>0</v>
      </c>
      <c r="AQ199" s="42" t="s">
        <v>1648</v>
      </c>
      <c r="AV199" s="46">
        <f>AW199+AX199</f>
        <v>0</v>
      </c>
      <c r="AW199" s="46">
        <f>I199*AO199</f>
        <v>0</v>
      </c>
      <c r="AX199" s="46">
        <f>I199*AP199</f>
        <v>0</v>
      </c>
      <c r="AY199" s="42" t="s">
        <v>802</v>
      </c>
      <c r="AZ199" s="42" t="s">
        <v>1743</v>
      </c>
      <c r="BA199" s="1" t="s">
        <v>1154</v>
      </c>
      <c r="BC199" s="46">
        <f>AW199+AX199</f>
        <v>0</v>
      </c>
      <c r="BD199" s="46">
        <f>J199/(100-BE199)*100</f>
        <v>0</v>
      </c>
      <c r="BE199" s="46">
        <v>0</v>
      </c>
      <c r="BF199" s="46">
        <f>199</f>
        <v>199</v>
      </c>
      <c r="BH199" s="46">
        <f>I199*AO199</f>
        <v>0</v>
      </c>
      <c r="BI199" s="46">
        <f>I199*AP199</f>
        <v>0</v>
      </c>
      <c r="BJ199" s="46">
        <f>I199*J199</f>
        <v>0</v>
      </c>
      <c r="BK199" s="46"/>
      <c r="BL199" s="46">
        <v>45</v>
      </c>
    </row>
    <row r="200" spans="1:15" ht="15" customHeight="1">
      <c r="A200" s="10"/>
      <c r="D200" s="32" t="s">
        <v>697</v>
      </c>
      <c r="G200" s="32" t="s">
        <v>917</v>
      </c>
      <c r="I200" s="58">
        <v>64.47</v>
      </c>
      <c r="O200" s="30"/>
    </row>
    <row r="201" spans="1:15" ht="15" customHeight="1">
      <c r="A201" s="10"/>
      <c r="D201" s="32" t="s">
        <v>1302</v>
      </c>
      <c r="G201" s="32" t="s">
        <v>1292</v>
      </c>
      <c r="I201" s="58">
        <v>48.68600000000001</v>
      </c>
      <c r="O201" s="30"/>
    </row>
    <row r="202" spans="1:64" ht="15" customHeight="1">
      <c r="A202" s="52" t="s">
        <v>1031</v>
      </c>
      <c r="B202" s="43" t="s">
        <v>141</v>
      </c>
      <c r="C202" s="43" t="s">
        <v>1336</v>
      </c>
      <c r="D202" s="61" t="s">
        <v>1794</v>
      </c>
      <c r="E202" s="61"/>
      <c r="F202" s="61"/>
      <c r="G202" s="61"/>
      <c r="H202" s="43" t="s">
        <v>1604</v>
      </c>
      <c r="I202" s="46">
        <v>3.6</v>
      </c>
      <c r="J202" s="46">
        <v>0</v>
      </c>
      <c r="K202" s="46">
        <f>I202*AO202</f>
        <v>0</v>
      </c>
      <c r="L202" s="46">
        <f>I202*AP202</f>
        <v>0</v>
      </c>
      <c r="M202" s="46">
        <f>I202*J202</f>
        <v>0</v>
      </c>
      <c r="N202" s="46">
        <v>2.5</v>
      </c>
      <c r="O202" s="6" t="s">
        <v>1149</v>
      </c>
      <c r="Z202" s="46">
        <f>IF(AQ202="5",BJ202,0)</f>
        <v>0</v>
      </c>
      <c r="AB202" s="46">
        <f>IF(AQ202="1",BH202,0)</f>
        <v>0</v>
      </c>
      <c r="AC202" s="46">
        <f>IF(AQ202="1",BI202,0)</f>
        <v>0</v>
      </c>
      <c r="AD202" s="46">
        <f>IF(AQ202="7",BH202,0)</f>
        <v>0</v>
      </c>
      <c r="AE202" s="46">
        <f>IF(AQ202="7",BI202,0)</f>
        <v>0</v>
      </c>
      <c r="AF202" s="46">
        <f>IF(AQ202="2",BH202,0)</f>
        <v>0</v>
      </c>
      <c r="AG202" s="46">
        <f>IF(AQ202="2",BI202,0)</f>
        <v>0</v>
      </c>
      <c r="AH202" s="46">
        <f>IF(AQ202="0",BJ202,0)</f>
        <v>0</v>
      </c>
      <c r="AI202" s="1" t="s">
        <v>141</v>
      </c>
      <c r="AJ202" s="46">
        <f>IF(AN202=0,M202,0)</f>
        <v>0</v>
      </c>
      <c r="AK202" s="46">
        <f>IF(AN202=15,M202,0)</f>
        <v>0</v>
      </c>
      <c r="AL202" s="46">
        <f>IF(AN202=21,M202,0)</f>
        <v>0</v>
      </c>
      <c r="AN202" s="46">
        <v>21</v>
      </c>
      <c r="AO202" s="46">
        <f>J202*0.786681350954479</f>
        <v>0</v>
      </c>
      <c r="AP202" s="46">
        <f>J202*(1-0.786681350954479)</f>
        <v>0</v>
      </c>
      <c r="AQ202" s="42" t="s">
        <v>1648</v>
      </c>
      <c r="AV202" s="46">
        <f>AW202+AX202</f>
        <v>0</v>
      </c>
      <c r="AW202" s="46">
        <f>I202*AO202</f>
        <v>0</v>
      </c>
      <c r="AX202" s="46">
        <f>I202*AP202</f>
        <v>0</v>
      </c>
      <c r="AY202" s="42" t="s">
        <v>802</v>
      </c>
      <c r="AZ202" s="42" t="s">
        <v>1743</v>
      </c>
      <c r="BA202" s="1" t="s">
        <v>1154</v>
      </c>
      <c r="BC202" s="46">
        <f>AW202+AX202</f>
        <v>0</v>
      </c>
      <c r="BD202" s="46">
        <f>J202/(100-BE202)*100</f>
        <v>0</v>
      </c>
      <c r="BE202" s="46">
        <v>0</v>
      </c>
      <c r="BF202" s="46">
        <f>202</f>
        <v>202</v>
      </c>
      <c r="BH202" s="46">
        <f>I202*AO202</f>
        <v>0</v>
      </c>
      <c r="BI202" s="46">
        <f>I202*AP202</f>
        <v>0</v>
      </c>
      <c r="BJ202" s="46">
        <f>I202*J202</f>
        <v>0</v>
      </c>
      <c r="BK202" s="46"/>
      <c r="BL202" s="46">
        <v>45</v>
      </c>
    </row>
    <row r="203" spans="1:15" ht="15" customHeight="1">
      <c r="A203" s="10"/>
      <c r="D203" s="32" t="s">
        <v>776</v>
      </c>
      <c r="G203" s="32" t="s">
        <v>1033</v>
      </c>
      <c r="I203" s="58">
        <v>3.6</v>
      </c>
      <c r="O203" s="30"/>
    </row>
    <row r="204" spans="1:47" ht="15" customHeight="1">
      <c r="A204" s="3" t="s">
        <v>1163</v>
      </c>
      <c r="B204" s="9" t="s">
        <v>141</v>
      </c>
      <c r="C204" s="9" t="s">
        <v>740</v>
      </c>
      <c r="D204" s="64" t="s">
        <v>1570</v>
      </c>
      <c r="E204" s="64"/>
      <c r="F204" s="64"/>
      <c r="G204" s="64"/>
      <c r="H204" s="41" t="s">
        <v>1537</v>
      </c>
      <c r="I204" s="41" t="s">
        <v>1537</v>
      </c>
      <c r="J204" s="41" t="s">
        <v>1537</v>
      </c>
      <c r="K204" s="50">
        <f>SUM(K205:K214)</f>
        <v>0</v>
      </c>
      <c r="L204" s="50">
        <f>SUM(L205:L214)</f>
        <v>0</v>
      </c>
      <c r="M204" s="50">
        <f>SUM(M205:M214)</f>
        <v>0</v>
      </c>
      <c r="N204" s="1" t="s">
        <v>1163</v>
      </c>
      <c r="O204" s="45" t="s">
        <v>1163</v>
      </c>
      <c r="AI204" s="1" t="s">
        <v>141</v>
      </c>
      <c r="AS204" s="50">
        <f>SUM(AJ205:AJ214)</f>
        <v>0</v>
      </c>
      <c r="AT204" s="50">
        <f>SUM(AK205:AK214)</f>
        <v>0</v>
      </c>
      <c r="AU204" s="50">
        <f>SUM(AL205:AL214)</f>
        <v>0</v>
      </c>
    </row>
    <row r="205" spans="1:64" ht="15" customHeight="1">
      <c r="A205" s="52" t="s">
        <v>1672</v>
      </c>
      <c r="B205" s="43" t="s">
        <v>141</v>
      </c>
      <c r="C205" s="43" t="s">
        <v>898</v>
      </c>
      <c r="D205" s="61" t="s">
        <v>881</v>
      </c>
      <c r="E205" s="61"/>
      <c r="F205" s="61"/>
      <c r="G205" s="61"/>
      <c r="H205" s="43" t="s">
        <v>1629</v>
      </c>
      <c r="I205" s="46">
        <v>1</v>
      </c>
      <c r="J205" s="46">
        <v>0</v>
      </c>
      <c r="K205" s="46">
        <f>I205*AO205</f>
        <v>0</v>
      </c>
      <c r="L205" s="46">
        <f>I205*AP205</f>
        <v>0</v>
      </c>
      <c r="M205" s="46">
        <f>I205*J205</f>
        <v>0</v>
      </c>
      <c r="N205" s="46">
        <v>0.31388</v>
      </c>
      <c r="O205" s="6" t="s">
        <v>1149</v>
      </c>
      <c r="Z205" s="46">
        <f>IF(AQ205="5",BJ205,0)</f>
        <v>0</v>
      </c>
      <c r="AB205" s="46">
        <f>IF(AQ205="1",BH205,0)</f>
        <v>0</v>
      </c>
      <c r="AC205" s="46">
        <f>IF(AQ205="1",BI205,0)</f>
        <v>0</v>
      </c>
      <c r="AD205" s="46">
        <f>IF(AQ205="7",BH205,0)</f>
        <v>0</v>
      </c>
      <c r="AE205" s="46">
        <f>IF(AQ205="7",BI205,0)</f>
        <v>0</v>
      </c>
      <c r="AF205" s="46">
        <f>IF(AQ205="2",BH205,0)</f>
        <v>0</v>
      </c>
      <c r="AG205" s="46">
        <f>IF(AQ205="2",BI205,0)</f>
        <v>0</v>
      </c>
      <c r="AH205" s="46">
        <f>IF(AQ205="0",BJ205,0)</f>
        <v>0</v>
      </c>
      <c r="AI205" s="1" t="s">
        <v>141</v>
      </c>
      <c r="AJ205" s="46">
        <f>IF(AN205=0,M205,0)</f>
        <v>0</v>
      </c>
      <c r="AK205" s="46">
        <f>IF(AN205=15,M205,0)</f>
        <v>0</v>
      </c>
      <c r="AL205" s="46">
        <f>IF(AN205=21,M205,0)</f>
        <v>0</v>
      </c>
      <c r="AN205" s="46">
        <v>21</v>
      </c>
      <c r="AO205" s="46">
        <f>J205*0.437237903225806</f>
        <v>0</v>
      </c>
      <c r="AP205" s="46">
        <f>J205*(1-0.437237903225806)</f>
        <v>0</v>
      </c>
      <c r="AQ205" s="42" t="s">
        <v>1648</v>
      </c>
      <c r="AV205" s="46">
        <f>AW205+AX205</f>
        <v>0</v>
      </c>
      <c r="AW205" s="46">
        <f>I205*AO205</f>
        <v>0</v>
      </c>
      <c r="AX205" s="46">
        <f>I205*AP205</f>
        <v>0</v>
      </c>
      <c r="AY205" s="42" t="s">
        <v>1633</v>
      </c>
      <c r="AZ205" s="42" t="s">
        <v>1586</v>
      </c>
      <c r="BA205" s="1" t="s">
        <v>1154</v>
      </c>
      <c r="BC205" s="46">
        <f>AW205+AX205</f>
        <v>0</v>
      </c>
      <c r="BD205" s="46">
        <f>J205/(100-BE205)*100</f>
        <v>0</v>
      </c>
      <c r="BE205" s="46">
        <v>0</v>
      </c>
      <c r="BF205" s="46">
        <f>205</f>
        <v>205</v>
      </c>
      <c r="BH205" s="46">
        <f>I205*AO205</f>
        <v>0</v>
      </c>
      <c r="BI205" s="46">
        <f>I205*AP205</f>
        <v>0</v>
      </c>
      <c r="BJ205" s="46">
        <f>I205*J205</f>
        <v>0</v>
      </c>
      <c r="BK205" s="46"/>
      <c r="BL205" s="46">
        <v>59</v>
      </c>
    </row>
    <row r="206" spans="1:15" ht="15" customHeight="1">
      <c r="A206" s="10"/>
      <c r="D206" s="32" t="s">
        <v>525</v>
      </c>
      <c r="G206" s="32" t="s">
        <v>826</v>
      </c>
      <c r="I206" s="58">
        <v>1</v>
      </c>
      <c r="O206" s="30"/>
    </row>
    <row r="207" spans="1:64" ht="15" customHeight="1">
      <c r="A207" s="52" t="s">
        <v>1530</v>
      </c>
      <c r="B207" s="43" t="s">
        <v>141</v>
      </c>
      <c r="C207" s="43" t="s">
        <v>733</v>
      </c>
      <c r="D207" s="61" t="s">
        <v>1733</v>
      </c>
      <c r="E207" s="61"/>
      <c r="F207" s="61"/>
      <c r="G207" s="61"/>
      <c r="H207" s="43" t="s">
        <v>749</v>
      </c>
      <c r="I207" s="46">
        <v>0.5</v>
      </c>
      <c r="J207" s="46">
        <v>0</v>
      </c>
      <c r="K207" s="46">
        <f>I207*AO207</f>
        <v>0</v>
      </c>
      <c r="L207" s="46">
        <f>I207*AP207</f>
        <v>0</v>
      </c>
      <c r="M207" s="46">
        <f>I207*J207</f>
        <v>0</v>
      </c>
      <c r="N207" s="46">
        <v>1</v>
      </c>
      <c r="O207" s="6" t="s">
        <v>1149</v>
      </c>
      <c r="Z207" s="46">
        <f>IF(AQ207="5",BJ207,0)</f>
        <v>0</v>
      </c>
      <c r="AB207" s="46">
        <f>IF(AQ207="1",BH207,0)</f>
        <v>0</v>
      </c>
      <c r="AC207" s="46">
        <f>IF(AQ207="1",BI207,0)</f>
        <v>0</v>
      </c>
      <c r="AD207" s="46">
        <f>IF(AQ207="7",BH207,0)</f>
        <v>0</v>
      </c>
      <c r="AE207" s="46">
        <f>IF(AQ207="7",BI207,0)</f>
        <v>0</v>
      </c>
      <c r="AF207" s="46">
        <f>IF(AQ207="2",BH207,0)</f>
        <v>0</v>
      </c>
      <c r="AG207" s="46">
        <f>IF(AQ207="2",BI207,0)</f>
        <v>0</v>
      </c>
      <c r="AH207" s="46">
        <f>IF(AQ207="0",BJ207,0)</f>
        <v>0</v>
      </c>
      <c r="AI207" s="1" t="s">
        <v>141</v>
      </c>
      <c r="AJ207" s="46">
        <f>IF(AN207=0,M207,0)</f>
        <v>0</v>
      </c>
      <c r="AK207" s="46">
        <f>IF(AN207=15,M207,0)</f>
        <v>0</v>
      </c>
      <c r="AL207" s="46">
        <f>IF(AN207=21,M207,0)</f>
        <v>0</v>
      </c>
      <c r="AN207" s="46">
        <v>21</v>
      </c>
      <c r="AO207" s="46">
        <f>J207*1</f>
        <v>0</v>
      </c>
      <c r="AP207" s="46">
        <f>J207*(1-1)</f>
        <v>0</v>
      </c>
      <c r="AQ207" s="42" t="s">
        <v>1648</v>
      </c>
      <c r="AV207" s="46">
        <f>AW207+AX207</f>
        <v>0</v>
      </c>
      <c r="AW207" s="46">
        <f>I207*AO207</f>
        <v>0</v>
      </c>
      <c r="AX207" s="46">
        <f>I207*AP207</f>
        <v>0</v>
      </c>
      <c r="AY207" s="42" t="s">
        <v>1633</v>
      </c>
      <c r="AZ207" s="42" t="s">
        <v>1586</v>
      </c>
      <c r="BA207" s="1" t="s">
        <v>1154</v>
      </c>
      <c r="BC207" s="46">
        <f>AW207+AX207</f>
        <v>0</v>
      </c>
      <c r="BD207" s="46">
        <f>J207/(100-BE207)*100</f>
        <v>0</v>
      </c>
      <c r="BE207" s="46">
        <v>0</v>
      </c>
      <c r="BF207" s="46">
        <f>207</f>
        <v>207</v>
      </c>
      <c r="BH207" s="46">
        <f>I207*AO207</f>
        <v>0</v>
      </c>
      <c r="BI207" s="46">
        <f>I207*AP207</f>
        <v>0</v>
      </c>
      <c r="BJ207" s="46">
        <f>I207*J207</f>
        <v>0</v>
      </c>
      <c r="BK207" s="46"/>
      <c r="BL207" s="46">
        <v>59</v>
      </c>
    </row>
    <row r="208" spans="1:15" ht="15" customHeight="1">
      <c r="A208" s="10"/>
      <c r="D208" s="32" t="s">
        <v>565</v>
      </c>
      <c r="G208" s="32" t="s">
        <v>1163</v>
      </c>
      <c r="I208" s="58">
        <v>0.5</v>
      </c>
      <c r="O208" s="30"/>
    </row>
    <row r="209" spans="1:64" ht="15" customHeight="1">
      <c r="A209" s="52" t="s">
        <v>1121</v>
      </c>
      <c r="B209" s="43" t="s">
        <v>141</v>
      </c>
      <c r="C209" s="43" t="s">
        <v>875</v>
      </c>
      <c r="D209" s="61" t="s">
        <v>1460</v>
      </c>
      <c r="E209" s="61"/>
      <c r="F209" s="61"/>
      <c r="G209" s="61"/>
      <c r="H209" s="43" t="s">
        <v>1365</v>
      </c>
      <c r="I209" s="46">
        <v>29</v>
      </c>
      <c r="J209" s="46">
        <v>0</v>
      </c>
      <c r="K209" s="46">
        <f>I209*AO209</f>
        <v>0</v>
      </c>
      <c r="L209" s="46">
        <f>I209*AP209</f>
        <v>0</v>
      </c>
      <c r="M209" s="46">
        <f>I209*J209</f>
        <v>0</v>
      </c>
      <c r="N209" s="46">
        <v>0.25207</v>
      </c>
      <c r="O209" s="6" t="s">
        <v>1149</v>
      </c>
      <c r="Z209" s="46">
        <f>IF(AQ209="5",BJ209,0)</f>
        <v>0</v>
      </c>
      <c r="AB209" s="46">
        <f>IF(AQ209="1",BH209,0)</f>
        <v>0</v>
      </c>
      <c r="AC209" s="46">
        <f>IF(AQ209="1",BI209,0)</f>
        <v>0</v>
      </c>
      <c r="AD209" s="46">
        <f>IF(AQ209="7",BH209,0)</f>
        <v>0</v>
      </c>
      <c r="AE209" s="46">
        <f>IF(AQ209="7",BI209,0)</f>
        <v>0</v>
      </c>
      <c r="AF209" s="46">
        <f>IF(AQ209="2",BH209,0)</f>
        <v>0</v>
      </c>
      <c r="AG209" s="46">
        <f>IF(AQ209="2",BI209,0)</f>
        <v>0</v>
      </c>
      <c r="AH209" s="46">
        <f>IF(AQ209="0",BJ209,0)</f>
        <v>0</v>
      </c>
      <c r="AI209" s="1" t="s">
        <v>141</v>
      </c>
      <c r="AJ209" s="46">
        <f>IF(AN209=0,M209,0)</f>
        <v>0</v>
      </c>
      <c r="AK209" s="46">
        <f>IF(AN209=15,M209,0)</f>
        <v>0</v>
      </c>
      <c r="AL209" s="46">
        <f>IF(AN209=21,M209,0)</f>
        <v>0</v>
      </c>
      <c r="AN209" s="46">
        <v>21</v>
      </c>
      <c r="AO209" s="46">
        <f>J209*0.487536</f>
        <v>0</v>
      </c>
      <c r="AP209" s="46">
        <f>J209*(1-0.487536)</f>
        <v>0</v>
      </c>
      <c r="AQ209" s="42" t="s">
        <v>1648</v>
      </c>
      <c r="AV209" s="46">
        <f>AW209+AX209</f>
        <v>0</v>
      </c>
      <c r="AW209" s="46">
        <f>I209*AO209</f>
        <v>0</v>
      </c>
      <c r="AX209" s="46">
        <f>I209*AP209</f>
        <v>0</v>
      </c>
      <c r="AY209" s="42" t="s">
        <v>1633</v>
      </c>
      <c r="AZ209" s="42" t="s">
        <v>1586</v>
      </c>
      <c r="BA209" s="1" t="s">
        <v>1154</v>
      </c>
      <c r="BC209" s="46">
        <f>AW209+AX209</f>
        <v>0</v>
      </c>
      <c r="BD209" s="46">
        <f>J209/(100-BE209)*100</f>
        <v>0</v>
      </c>
      <c r="BE209" s="46">
        <v>0</v>
      </c>
      <c r="BF209" s="46">
        <f>209</f>
        <v>209</v>
      </c>
      <c r="BH209" s="46">
        <f>I209*AO209</f>
        <v>0</v>
      </c>
      <c r="BI209" s="46">
        <f>I209*AP209</f>
        <v>0</v>
      </c>
      <c r="BJ209" s="46">
        <f>I209*J209</f>
        <v>0</v>
      </c>
      <c r="BK209" s="46"/>
      <c r="BL209" s="46">
        <v>59</v>
      </c>
    </row>
    <row r="210" spans="1:15" ht="15" customHeight="1">
      <c r="A210" s="10"/>
      <c r="D210" s="32" t="s">
        <v>824</v>
      </c>
      <c r="G210" s="32" t="s">
        <v>1163</v>
      </c>
      <c r="I210" s="58">
        <v>29.000000000000004</v>
      </c>
      <c r="O210" s="30"/>
    </row>
    <row r="211" spans="1:64" ht="15" customHeight="1">
      <c r="A211" s="52" t="s">
        <v>840</v>
      </c>
      <c r="B211" s="43" t="s">
        <v>141</v>
      </c>
      <c r="C211" s="43" t="s">
        <v>1842</v>
      </c>
      <c r="D211" s="61" t="s">
        <v>762</v>
      </c>
      <c r="E211" s="61"/>
      <c r="F211" s="61"/>
      <c r="G211" s="61"/>
      <c r="H211" s="43" t="s">
        <v>1365</v>
      </c>
      <c r="I211" s="46">
        <v>29</v>
      </c>
      <c r="J211" s="46">
        <v>0</v>
      </c>
      <c r="K211" s="46">
        <f>I211*AO211</f>
        <v>0</v>
      </c>
      <c r="L211" s="46">
        <f>I211*AP211</f>
        <v>0</v>
      </c>
      <c r="M211" s="46">
        <f>I211*J211</f>
        <v>0</v>
      </c>
      <c r="N211" s="46">
        <v>0.27693</v>
      </c>
      <c r="O211" s="6" t="s">
        <v>1149</v>
      </c>
      <c r="Z211" s="46">
        <f>IF(AQ211="5",BJ211,0)</f>
        <v>0</v>
      </c>
      <c r="AB211" s="46">
        <f>IF(AQ211="1",BH211,0)</f>
        <v>0</v>
      </c>
      <c r="AC211" s="46">
        <f>IF(AQ211="1",BI211,0)</f>
        <v>0</v>
      </c>
      <c r="AD211" s="46">
        <f>IF(AQ211="7",BH211,0)</f>
        <v>0</v>
      </c>
      <c r="AE211" s="46">
        <f>IF(AQ211="7",BI211,0)</f>
        <v>0</v>
      </c>
      <c r="AF211" s="46">
        <f>IF(AQ211="2",BH211,0)</f>
        <v>0</v>
      </c>
      <c r="AG211" s="46">
        <f>IF(AQ211="2",BI211,0)</f>
        <v>0</v>
      </c>
      <c r="AH211" s="46">
        <f>IF(AQ211="0",BJ211,0)</f>
        <v>0</v>
      </c>
      <c r="AI211" s="1" t="s">
        <v>141</v>
      </c>
      <c r="AJ211" s="46">
        <f>IF(AN211=0,M211,0)</f>
        <v>0</v>
      </c>
      <c r="AK211" s="46">
        <f>IF(AN211=15,M211,0)</f>
        <v>0</v>
      </c>
      <c r="AL211" s="46">
        <f>IF(AN211=21,M211,0)</f>
        <v>0</v>
      </c>
      <c r="AN211" s="46">
        <v>21</v>
      </c>
      <c r="AO211" s="46">
        <f>J211*0.924511228957458</f>
        <v>0</v>
      </c>
      <c r="AP211" s="46">
        <f>J211*(1-0.924511228957458)</f>
        <v>0</v>
      </c>
      <c r="AQ211" s="42" t="s">
        <v>1648</v>
      </c>
      <c r="AV211" s="46">
        <f>AW211+AX211</f>
        <v>0</v>
      </c>
      <c r="AW211" s="46">
        <f>I211*AO211</f>
        <v>0</v>
      </c>
      <c r="AX211" s="46">
        <f>I211*AP211</f>
        <v>0</v>
      </c>
      <c r="AY211" s="42" t="s">
        <v>1633</v>
      </c>
      <c r="AZ211" s="42" t="s">
        <v>1586</v>
      </c>
      <c r="BA211" s="1" t="s">
        <v>1154</v>
      </c>
      <c r="BC211" s="46">
        <f>AW211+AX211</f>
        <v>0</v>
      </c>
      <c r="BD211" s="46">
        <f>J211/(100-BE211)*100</f>
        <v>0</v>
      </c>
      <c r="BE211" s="46">
        <v>0</v>
      </c>
      <c r="BF211" s="46">
        <f>211</f>
        <v>211</v>
      </c>
      <c r="BH211" s="46">
        <f>I211*AO211</f>
        <v>0</v>
      </c>
      <c r="BI211" s="46">
        <f>I211*AP211</f>
        <v>0</v>
      </c>
      <c r="BJ211" s="46">
        <f>I211*J211</f>
        <v>0</v>
      </c>
      <c r="BK211" s="46"/>
      <c r="BL211" s="46">
        <v>59</v>
      </c>
    </row>
    <row r="212" spans="1:15" ht="15" customHeight="1">
      <c r="A212" s="10"/>
      <c r="D212" s="32" t="s">
        <v>260</v>
      </c>
      <c r="G212" s="32" t="s">
        <v>1163</v>
      </c>
      <c r="I212" s="58">
        <v>29.000000000000004</v>
      </c>
      <c r="O212" s="30"/>
    </row>
    <row r="213" spans="1:64" ht="15" customHeight="1">
      <c r="A213" s="52" t="s">
        <v>350</v>
      </c>
      <c r="B213" s="43" t="s">
        <v>141</v>
      </c>
      <c r="C213" s="43" t="s">
        <v>1130</v>
      </c>
      <c r="D213" s="61" t="s">
        <v>1746</v>
      </c>
      <c r="E213" s="61"/>
      <c r="F213" s="61"/>
      <c r="G213" s="61"/>
      <c r="H213" s="43" t="s">
        <v>392</v>
      </c>
      <c r="I213" s="46">
        <v>7</v>
      </c>
      <c r="J213" s="46">
        <v>0</v>
      </c>
      <c r="K213" s="46">
        <f>I213*AO213</f>
        <v>0</v>
      </c>
      <c r="L213" s="46">
        <f>I213*AP213</f>
        <v>0</v>
      </c>
      <c r="M213" s="46">
        <f>I213*J213</f>
        <v>0</v>
      </c>
      <c r="N213" s="46">
        <v>0.12723</v>
      </c>
      <c r="O213" s="6" t="s">
        <v>1149</v>
      </c>
      <c r="Z213" s="46">
        <f>IF(AQ213="5",BJ213,0)</f>
        <v>0</v>
      </c>
      <c r="AB213" s="46">
        <f>IF(AQ213="1",BH213,0)</f>
        <v>0</v>
      </c>
      <c r="AC213" s="46">
        <f>IF(AQ213="1",BI213,0)</f>
        <v>0</v>
      </c>
      <c r="AD213" s="46">
        <f>IF(AQ213="7",BH213,0)</f>
        <v>0</v>
      </c>
      <c r="AE213" s="46">
        <f>IF(AQ213="7",BI213,0)</f>
        <v>0</v>
      </c>
      <c r="AF213" s="46">
        <f>IF(AQ213="2",BH213,0)</f>
        <v>0</v>
      </c>
      <c r="AG213" s="46">
        <f>IF(AQ213="2",BI213,0)</f>
        <v>0</v>
      </c>
      <c r="AH213" s="46">
        <f>IF(AQ213="0",BJ213,0)</f>
        <v>0</v>
      </c>
      <c r="AI213" s="1" t="s">
        <v>141</v>
      </c>
      <c r="AJ213" s="46">
        <f>IF(AN213=0,M213,0)</f>
        <v>0</v>
      </c>
      <c r="AK213" s="46">
        <f>IF(AN213=15,M213,0)</f>
        <v>0</v>
      </c>
      <c r="AL213" s="46">
        <f>IF(AN213=21,M213,0)</f>
        <v>0</v>
      </c>
      <c r="AN213" s="46">
        <v>21</v>
      </c>
      <c r="AO213" s="46">
        <f>J213*0.313404255319149</f>
        <v>0</v>
      </c>
      <c r="AP213" s="46">
        <f>J213*(1-0.313404255319149)</f>
        <v>0</v>
      </c>
      <c r="AQ213" s="42" t="s">
        <v>1648</v>
      </c>
      <c r="AV213" s="46">
        <f>AW213+AX213</f>
        <v>0</v>
      </c>
      <c r="AW213" s="46">
        <f>I213*AO213</f>
        <v>0</v>
      </c>
      <c r="AX213" s="46">
        <f>I213*AP213</f>
        <v>0</v>
      </c>
      <c r="AY213" s="42" t="s">
        <v>1633</v>
      </c>
      <c r="AZ213" s="42" t="s">
        <v>1586</v>
      </c>
      <c r="BA213" s="1" t="s">
        <v>1154</v>
      </c>
      <c r="BC213" s="46">
        <f>AW213+AX213</f>
        <v>0</v>
      </c>
      <c r="BD213" s="46">
        <f>J213/(100-BE213)*100</f>
        <v>0</v>
      </c>
      <c r="BE213" s="46">
        <v>0</v>
      </c>
      <c r="BF213" s="46">
        <f>213</f>
        <v>213</v>
      </c>
      <c r="BH213" s="46">
        <f>I213*AO213</f>
        <v>0</v>
      </c>
      <c r="BI213" s="46">
        <f>I213*AP213</f>
        <v>0</v>
      </c>
      <c r="BJ213" s="46">
        <f>I213*J213</f>
        <v>0</v>
      </c>
      <c r="BK213" s="46"/>
      <c r="BL213" s="46">
        <v>59</v>
      </c>
    </row>
    <row r="214" spans="1:64" ht="15" customHeight="1">
      <c r="A214" s="52" t="s">
        <v>151</v>
      </c>
      <c r="B214" s="43" t="s">
        <v>141</v>
      </c>
      <c r="C214" s="43" t="s">
        <v>1</v>
      </c>
      <c r="D214" s="61" t="s">
        <v>634</v>
      </c>
      <c r="E214" s="61"/>
      <c r="F214" s="61"/>
      <c r="G214" s="61"/>
      <c r="H214" s="43" t="s">
        <v>392</v>
      </c>
      <c r="I214" s="46">
        <v>7</v>
      </c>
      <c r="J214" s="46">
        <v>0</v>
      </c>
      <c r="K214" s="46">
        <f>I214*AO214</f>
        <v>0</v>
      </c>
      <c r="L214" s="46">
        <f>I214*AP214</f>
        <v>0</v>
      </c>
      <c r="M214" s="46">
        <f>I214*J214</f>
        <v>0</v>
      </c>
      <c r="N214" s="46">
        <v>0.16423</v>
      </c>
      <c r="O214" s="6" t="s">
        <v>1149</v>
      </c>
      <c r="Z214" s="46">
        <f>IF(AQ214="5",BJ214,0)</f>
        <v>0</v>
      </c>
      <c r="AB214" s="46">
        <f>IF(AQ214="1",BH214,0)</f>
        <v>0</v>
      </c>
      <c r="AC214" s="46">
        <f>IF(AQ214="1",BI214,0)</f>
        <v>0</v>
      </c>
      <c r="AD214" s="46">
        <f>IF(AQ214="7",BH214,0)</f>
        <v>0</v>
      </c>
      <c r="AE214" s="46">
        <f>IF(AQ214="7",BI214,0)</f>
        <v>0</v>
      </c>
      <c r="AF214" s="46">
        <f>IF(AQ214="2",BH214,0)</f>
        <v>0</v>
      </c>
      <c r="AG214" s="46">
        <f>IF(AQ214="2",BI214,0)</f>
        <v>0</v>
      </c>
      <c r="AH214" s="46">
        <f>IF(AQ214="0",BJ214,0)</f>
        <v>0</v>
      </c>
      <c r="AI214" s="1" t="s">
        <v>141</v>
      </c>
      <c r="AJ214" s="46">
        <f>IF(AN214=0,M214,0)</f>
        <v>0</v>
      </c>
      <c r="AK214" s="46">
        <f>IF(AN214=15,M214,0)</f>
        <v>0</v>
      </c>
      <c r="AL214" s="46">
        <f>IF(AN214=21,M214,0)</f>
        <v>0</v>
      </c>
      <c r="AN214" s="46">
        <v>21</v>
      </c>
      <c r="AO214" s="46">
        <f>J214*0.950955410729535</f>
        <v>0</v>
      </c>
      <c r="AP214" s="46">
        <f>J214*(1-0.950955410729535)</f>
        <v>0</v>
      </c>
      <c r="AQ214" s="42" t="s">
        <v>1648</v>
      </c>
      <c r="AV214" s="46">
        <f>AW214+AX214</f>
        <v>0</v>
      </c>
      <c r="AW214" s="46">
        <f>I214*AO214</f>
        <v>0</v>
      </c>
      <c r="AX214" s="46">
        <f>I214*AP214</f>
        <v>0</v>
      </c>
      <c r="AY214" s="42" t="s">
        <v>1633</v>
      </c>
      <c r="AZ214" s="42" t="s">
        <v>1586</v>
      </c>
      <c r="BA214" s="1" t="s">
        <v>1154</v>
      </c>
      <c r="BC214" s="46">
        <f>AW214+AX214</f>
        <v>0</v>
      </c>
      <c r="BD214" s="46">
        <f>J214/(100-BE214)*100</f>
        <v>0</v>
      </c>
      <c r="BE214" s="46">
        <v>0</v>
      </c>
      <c r="BF214" s="46">
        <f>214</f>
        <v>214</v>
      </c>
      <c r="BH214" s="46">
        <f>I214*AO214</f>
        <v>0</v>
      </c>
      <c r="BI214" s="46">
        <f>I214*AP214</f>
        <v>0</v>
      </c>
      <c r="BJ214" s="46">
        <f>I214*J214</f>
        <v>0</v>
      </c>
      <c r="BK214" s="46"/>
      <c r="BL214" s="46">
        <v>59</v>
      </c>
    </row>
    <row r="215" spans="1:47" ht="15" customHeight="1">
      <c r="A215" s="3" t="s">
        <v>1163</v>
      </c>
      <c r="B215" s="9" t="s">
        <v>141</v>
      </c>
      <c r="C215" s="9" t="s">
        <v>1079</v>
      </c>
      <c r="D215" s="64" t="s">
        <v>1881</v>
      </c>
      <c r="E215" s="64"/>
      <c r="F215" s="64"/>
      <c r="G215" s="64"/>
      <c r="H215" s="41" t="s">
        <v>1537</v>
      </c>
      <c r="I215" s="41" t="s">
        <v>1537</v>
      </c>
      <c r="J215" s="41" t="s">
        <v>1537</v>
      </c>
      <c r="K215" s="50">
        <f>SUM(K216:K216)</f>
        <v>0</v>
      </c>
      <c r="L215" s="50">
        <f>SUM(L216:L216)</f>
        <v>0</v>
      </c>
      <c r="M215" s="50">
        <f>SUM(M216:M216)</f>
        <v>0</v>
      </c>
      <c r="N215" s="1" t="s">
        <v>1163</v>
      </c>
      <c r="O215" s="45" t="s">
        <v>1163</v>
      </c>
      <c r="AI215" s="1" t="s">
        <v>141</v>
      </c>
      <c r="AS215" s="50">
        <f>SUM(AJ216:AJ216)</f>
        <v>0</v>
      </c>
      <c r="AT215" s="50">
        <f>SUM(AK216:AK216)</f>
        <v>0</v>
      </c>
      <c r="AU215" s="50">
        <f>SUM(AL216:AL216)</f>
        <v>0</v>
      </c>
    </row>
    <row r="216" spans="1:64" ht="15" customHeight="1">
      <c r="A216" s="52" t="s">
        <v>1627</v>
      </c>
      <c r="B216" s="43" t="s">
        <v>141</v>
      </c>
      <c r="C216" s="43" t="s">
        <v>845</v>
      </c>
      <c r="D216" s="61" t="s">
        <v>1062</v>
      </c>
      <c r="E216" s="61"/>
      <c r="F216" s="61"/>
      <c r="G216" s="61"/>
      <c r="H216" s="43" t="s">
        <v>392</v>
      </c>
      <c r="I216" s="46">
        <v>22</v>
      </c>
      <c r="J216" s="46">
        <v>0</v>
      </c>
      <c r="K216" s="46">
        <f>I216*AO216</f>
        <v>0</v>
      </c>
      <c r="L216" s="46">
        <f>I216*AP216</f>
        <v>0</v>
      </c>
      <c r="M216" s="46">
        <f>I216*J216</f>
        <v>0</v>
      </c>
      <c r="N216" s="46">
        <v>0.0202</v>
      </c>
      <c r="O216" s="6" t="s">
        <v>1149</v>
      </c>
      <c r="Z216" s="46">
        <f>IF(AQ216="5",BJ216,0)</f>
        <v>0</v>
      </c>
      <c r="AB216" s="46">
        <f>IF(AQ216="1",BH216,0)</f>
        <v>0</v>
      </c>
      <c r="AC216" s="46">
        <f>IF(AQ216="1",BI216,0)</f>
        <v>0</v>
      </c>
      <c r="AD216" s="46">
        <f>IF(AQ216="7",BH216,0)</f>
        <v>0</v>
      </c>
      <c r="AE216" s="46">
        <f>IF(AQ216="7",BI216,0)</f>
        <v>0</v>
      </c>
      <c r="AF216" s="46">
        <f>IF(AQ216="2",BH216,0)</f>
        <v>0</v>
      </c>
      <c r="AG216" s="46">
        <f>IF(AQ216="2",BI216,0)</f>
        <v>0</v>
      </c>
      <c r="AH216" s="46">
        <f>IF(AQ216="0",BJ216,0)</f>
        <v>0</v>
      </c>
      <c r="AI216" s="1" t="s">
        <v>141</v>
      </c>
      <c r="AJ216" s="46">
        <f>IF(AN216=0,M216,0)</f>
        <v>0</v>
      </c>
      <c r="AK216" s="46">
        <f>IF(AN216=15,M216,0)</f>
        <v>0</v>
      </c>
      <c r="AL216" s="46">
        <f>IF(AN216=21,M216,0)</f>
        <v>0</v>
      </c>
      <c r="AN216" s="46">
        <v>21</v>
      </c>
      <c r="AO216" s="46">
        <f>J216*0.864684989397324</f>
        <v>0</v>
      </c>
      <c r="AP216" s="46">
        <f>J216*(1-0.864684989397324)</f>
        <v>0</v>
      </c>
      <c r="AQ216" s="42" t="s">
        <v>1653</v>
      </c>
      <c r="AV216" s="46">
        <f>AW216+AX216</f>
        <v>0</v>
      </c>
      <c r="AW216" s="46">
        <f>I216*AO216</f>
        <v>0</v>
      </c>
      <c r="AX216" s="46">
        <f>I216*AP216</f>
        <v>0</v>
      </c>
      <c r="AY216" s="42" t="s">
        <v>250</v>
      </c>
      <c r="AZ216" s="42" t="s">
        <v>1275</v>
      </c>
      <c r="BA216" s="1" t="s">
        <v>1154</v>
      </c>
      <c r="BC216" s="46">
        <f>AW216+AX216</f>
        <v>0</v>
      </c>
      <c r="BD216" s="46">
        <f>J216/(100-BE216)*100</f>
        <v>0</v>
      </c>
      <c r="BE216" s="46">
        <v>0</v>
      </c>
      <c r="BF216" s="46">
        <f>216</f>
        <v>216</v>
      </c>
      <c r="BH216" s="46">
        <f>I216*AO216</f>
        <v>0</v>
      </c>
      <c r="BI216" s="46">
        <f>I216*AP216</f>
        <v>0</v>
      </c>
      <c r="BJ216" s="46">
        <f>I216*J216</f>
        <v>0</v>
      </c>
      <c r="BK216" s="46"/>
      <c r="BL216" s="46">
        <v>721</v>
      </c>
    </row>
    <row r="217" spans="1:15" ht="15" customHeight="1">
      <c r="A217" s="10"/>
      <c r="D217" s="32" t="s">
        <v>1591</v>
      </c>
      <c r="G217" s="32" t="s">
        <v>1690</v>
      </c>
      <c r="I217" s="58">
        <v>22.000000000000004</v>
      </c>
      <c r="O217" s="30"/>
    </row>
    <row r="218" spans="1:47" ht="15" customHeight="1">
      <c r="A218" s="3" t="s">
        <v>1163</v>
      </c>
      <c r="B218" s="9" t="s">
        <v>141</v>
      </c>
      <c r="C218" s="9" t="s">
        <v>76</v>
      </c>
      <c r="D218" s="64" t="s">
        <v>124</v>
      </c>
      <c r="E218" s="64"/>
      <c r="F218" s="64"/>
      <c r="G218" s="64"/>
      <c r="H218" s="41" t="s">
        <v>1537</v>
      </c>
      <c r="I218" s="41" t="s">
        <v>1537</v>
      </c>
      <c r="J218" s="41" t="s">
        <v>1537</v>
      </c>
      <c r="K218" s="50">
        <f>SUM(K219:K235)</f>
        <v>0</v>
      </c>
      <c r="L218" s="50">
        <f>SUM(L219:L235)</f>
        <v>0</v>
      </c>
      <c r="M218" s="50">
        <f>SUM(M219:M235)</f>
        <v>0</v>
      </c>
      <c r="N218" s="1" t="s">
        <v>1163</v>
      </c>
      <c r="O218" s="45" t="s">
        <v>1163</v>
      </c>
      <c r="AI218" s="1" t="s">
        <v>141</v>
      </c>
      <c r="AS218" s="50">
        <f>SUM(AJ219:AJ235)</f>
        <v>0</v>
      </c>
      <c r="AT218" s="50">
        <f>SUM(AK219:AK235)</f>
        <v>0</v>
      </c>
      <c r="AU218" s="50">
        <f>SUM(AL219:AL235)</f>
        <v>0</v>
      </c>
    </row>
    <row r="219" spans="1:64" ht="15" customHeight="1">
      <c r="A219" s="52" t="s">
        <v>277</v>
      </c>
      <c r="B219" s="43" t="s">
        <v>141</v>
      </c>
      <c r="C219" s="43" t="s">
        <v>887</v>
      </c>
      <c r="D219" s="61" t="s">
        <v>1122</v>
      </c>
      <c r="E219" s="61"/>
      <c r="F219" s="61"/>
      <c r="G219" s="61"/>
      <c r="H219" s="43" t="s">
        <v>1365</v>
      </c>
      <c r="I219" s="46">
        <v>460.5</v>
      </c>
      <c r="J219" s="46">
        <v>0</v>
      </c>
      <c r="K219" s="46">
        <f>I219*AO219</f>
        <v>0</v>
      </c>
      <c r="L219" s="46">
        <f>I219*AP219</f>
        <v>0</v>
      </c>
      <c r="M219" s="46">
        <f>I219*J219</f>
        <v>0</v>
      </c>
      <c r="N219" s="46">
        <v>1E-05</v>
      </c>
      <c r="O219" s="6" t="s">
        <v>1149</v>
      </c>
      <c r="Z219" s="46">
        <f>IF(AQ219="5",BJ219,0)</f>
        <v>0</v>
      </c>
      <c r="AB219" s="46">
        <f>IF(AQ219="1",BH219,0)</f>
        <v>0</v>
      </c>
      <c r="AC219" s="46">
        <f>IF(AQ219="1",BI219,0)</f>
        <v>0</v>
      </c>
      <c r="AD219" s="46">
        <f>IF(AQ219="7",BH219,0)</f>
        <v>0</v>
      </c>
      <c r="AE219" s="46">
        <f>IF(AQ219="7",BI219,0)</f>
        <v>0</v>
      </c>
      <c r="AF219" s="46">
        <f>IF(AQ219="2",BH219,0)</f>
        <v>0</v>
      </c>
      <c r="AG219" s="46">
        <f>IF(AQ219="2",BI219,0)</f>
        <v>0</v>
      </c>
      <c r="AH219" s="46">
        <f>IF(AQ219="0",BJ219,0)</f>
        <v>0</v>
      </c>
      <c r="AI219" s="1" t="s">
        <v>141</v>
      </c>
      <c r="AJ219" s="46">
        <f>IF(AN219=0,M219,0)</f>
        <v>0</v>
      </c>
      <c r="AK219" s="46">
        <f>IF(AN219=15,M219,0)</f>
        <v>0</v>
      </c>
      <c r="AL219" s="46">
        <f>IF(AN219=21,M219,0)</f>
        <v>0</v>
      </c>
      <c r="AN219" s="46">
        <v>21</v>
      </c>
      <c r="AO219" s="46">
        <f>J219*0.006</f>
        <v>0</v>
      </c>
      <c r="AP219" s="46">
        <f>J219*(1-0.006)</f>
        <v>0</v>
      </c>
      <c r="AQ219" s="42" t="s">
        <v>1648</v>
      </c>
      <c r="AV219" s="46">
        <f>AW219+AX219</f>
        <v>0</v>
      </c>
      <c r="AW219" s="46">
        <f>I219*AO219</f>
        <v>0</v>
      </c>
      <c r="AX219" s="46">
        <f>I219*AP219</f>
        <v>0</v>
      </c>
      <c r="AY219" s="42" t="s">
        <v>109</v>
      </c>
      <c r="AZ219" s="42" t="s">
        <v>595</v>
      </c>
      <c r="BA219" s="1" t="s">
        <v>1154</v>
      </c>
      <c r="BC219" s="46">
        <f>AW219+AX219</f>
        <v>0</v>
      </c>
      <c r="BD219" s="46">
        <f>J219/(100-BE219)*100</f>
        <v>0</v>
      </c>
      <c r="BE219" s="46">
        <v>0</v>
      </c>
      <c r="BF219" s="46">
        <f>219</f>
        <v>219</v>
      </c>
      <c r="BH219" s="46">
        <f>I219*AO219</f>
        <v>0</v>
      </c>
      <c r="BI219" s="46">
        <f>I219*AP219</f>
        <v>0</v>
      </c>
      <c r="BJ219" s="46">
        <f>I219*J219</f>
        <v>0</v>
      </c>
      <c r="BK219" s="46"/>
      <c r="BL219" s="46">
        <v>87</v>
      </c>
    </row>
    <row r="220" spans="1:15" ht="15" customHeight="1">
      <c r="A220" s="10"/>
      <c r="D220" s="32" t="s">
        <v>617</v>
      </c>
      <c r="G220" s="32" t="s">
        <v>793</v>
      </c>
      <c r="I220" s="58">
        <v>460.50000000000006</v>
      </c>
      <c r="O220" s="30"/>
    </row>
    <row r="221" spans="1:64" ht="15" customHeight="1">
      <c r="A221" s="52" t="s">
        <v>301</v>
      </c>
      <c r="B221" s="43" t="s">
        <v>141</v>
      </c>
      <c r="C221" s="43" t="s">
        <v>1162</v>
      </c>
      <c r="D221" s="61" t="s">
        <v>1812</v>
      </c>
      <c r="E221" s="61"/>
      <c r="F221" s="61"/>
      <c r="G221" s="61"/>
      <c r="H221" s="43" t="s">
        <v>392</v>
      </c>
      <c r="I221" s="46">
        <v>8</v>
      </c>
      <c r="J221" s="46">
        <v>0</v>
      </c>
      <c r="K221" s="46">
        <f>I221*AO221</f>
        <v>0</v>
      </c>
      <c r="L221" s="46">
        <f>I221*AP221</f>
        <v>0</v>
      </c>
      <c r="M221" s="46">
        <f>I221*J221</f>
        <v>0</v>
      </c>
      <c r="N221" s="46">
        <v>0.0348</v>
      </c>
      <c r="O221" s="6" t="s">
        <v>1149</v>
      </c>
      <c r="Z221" s="46">
        <f>IF(AQ221="5",BJ221,0)</f>
        <v>0</v>
      </c>
      <c r="AB221" s="46">
        <f>IF(AQ221="1",BH221,0)</f>
        <v>0</v>
      </c>
      <c r="AC221" s="46">
        <f>IF(AQ221="1",BI221,0)</f>
        <v>0</v>
      </c>
      <c r="AD221" s="46">
        <f>IF(AQ221="7",BH221,0)</f>
        <v>0</v>
      </c>
      <c r="AE221" s="46">
        <f>IF(AQ221="7",BI221,0)</f>
        <v>0</v>
      </c>
      <c r="AF221" s="46">
        <f>IF(AQ221="2",BH221,0)</f>
        <v>0</v>
      </c>
      <c r="AG221" s="46">
        <f>IF(AQ221="2",BI221,0)</f>
        <v>0</v>
      </c>
      <c r="AH221" s="46">
        <f>IF(AQ221="0",BJ221,0)</f>
        <v>0</v>
      </c>
      <c r="AI221" s="1" t="s">
        <v>141</v>
      </c>
      <c r="AJ221" s="46">
        <f>IF(AN221=0,M221,0)</f>
        <v>0</v>
      </c>
      <c r="AK221" s="46">
        <f>IF(AN221=15,M221,0)</f>
        <v>0</v>
      </c>
      <c r="AL221" s="46">
        <f>IF(AN221=21,M221,0)</f>
        <v>0</v>
      </c>
      <c r="AN221" s="46">
        <v>21</v>
      </c>
      <c r="AO221" s="46">
        <f>J221*1</f>
        <v>0</v>
      </c>
      <c r="AP221" s="46">
        <f>J221*(1-1)</f>
        <v>0</v>
      </c>
      <c r="AQ221" s="42" t="s">
        <v>1648</v>
      </c>
      <c r="AV221" s="46">
        <f>AW221+AX221</f>
        <v>0</v>
      </c>
      <c r="AW221" s="46">
        <f>I221*AO221</f>
        <v>0</v>
      </c>
      <c r="AX221" s="46">
        <f>I221*AP221</f>
        <v>0</v>
      </c>
      <c r="AY221" s="42" t="s">
        <v>109</v>
      </c>
      <c r="AZ221" s="42" t="s">
        <v>595</v>
      </c>
      <c r="BA221" s="1" t="s">
        <v>1154</v>
      </c>
      <c r="BC221" s="46">
        <f>AW221+AX221</f>
        <v>0</v>
      </c>
      <c r="BD221" s="46">
        <f>J221/(100-BE221)*100</f>
        <v>0</v>
      </c>
      <c r="BE221" s="46">
        <v>0</v>
      </c>
      <c r="BF221" s="46">
        <f>221</f>
        <v>221</v>
      </c>
      <c r="BH221" s="46">
        <f>I221*AO221</f>
        <v>0</v>
      </c>
      <c r="BI221" s="46">
        <f>I221*AP221</f>
        <v>0</v>
      </c>
      <c r="BJ221" s="46">
        <f>I221*J221</f>
        <v>0</v>
      </c>
      <c r="BK221" s="46"/>
      <c r="BL221" s="46">
        <v>87</v>
      </c>
    </row>
    <row r="222" spans="1:64" ht="15" customHeight="1">
      <c r="A222" s="52" t="s">
        <v>1684</v>
      </c>
      <c r="B222" s="43" t="s">
        <v>141</v>
      </c>
      <c r="C222" s="43" t="s">
        <v>806</v>
      </c>
      <c r="D222" s="61" t="s">
        <v>1464</v>
      </c>
      <c r="E222" s="61"/>
      <c r="F222" s="61"/>
      <c r="G222" s="61"/>
      <c r="H222" s="43" t="s">
        <v>392</v>
      </c>
      <c r="I222" s="46">
        <v>75</v>
      </c>
      <c r="J222" s="46">
        <v>0</v>
      </c>
      <c r="K222" s="46">
        <f>I222*AO222</f>
        <v>0</v>
      </c>
      <c r="L222" s="46">
        <f>I222*AP222</f>
        <v>0</v>
      </c>
      <c r="M222" s="46">
        <f>I222*J222</f>
        <v>0</v>
      </c>
      <c r="N222" s="46">
        <v>0.0659</v>
      </c>
      <c r="O222" s="6" t="s">
        <v>1149</v>
      </c>
      <c r="Z222" s="46">
        <f>IF(AQ222="5",BJ222,0)</f>
        <v>0</v>
      </c>
      <c r="AB222" s="46">
        <f>IF(AQ222="1",BH222,0)</f>
        <v>0</v>
      </c>
      <c r="AC222" s="46">
        <f>IF(AQ222="1",BI222,0)</f>
        <v>0</v>
      </c>
      <c r="AD222" s="46">
        <f>IF(AQ222="7",BH222,0)</f>
        <v>0</v>
      </c>
      <c r="AE222" s="46">
        <f>IF(AQ222="7",BI222,0)</f>
        <v>0</v>
      </c>
      <c r="AF222" s="46">
        <f>IF(AQ222="2",BH222,0)</f>
        <v>0</v>
      </c>
      <c r="AG222" s="46">
        <f>IF(AQ222="2",BI222,0)</f>
        <v>0</v>
      </c>
      <c r="AH222" s="46">
        <f>IF(AQ222="0",BJ222,0)</f>
        <v>0</v>
      </c>
      <c r="AI222" s="1" t="s">
        <v>141</v>
      </c>
      <c r="AJ222" s="46">
        <f>IF(AN222=0,M222,0)</f>
        <v>0</v>
      </c>
      <c r="AK222" s="46">
        <f>IF(AN222=15,M222,0)</f>
        <v>0</v>
      </c>
      <c r="AL222" s="46">
        <f>IF(AN222=21,M222,0)</f>
        <v>0</v>
      </c>
      <c r="AN222" s="46">
        <v>21</v>
      </c>
      <c r="AO222" s="46">
        <f>J222*1</f>
        <v>0</v>
      </c>
      <c r="AP222" s="46">
        <f>J222*(1-1)</f>
        <v>0</v>
      </c>
      <c r="AQ222" s="42" t="s">
        <v>1648</v>
      </c>
      <c r="AV222" s="46">
        <f>AW222+AX222</f>
        <v>0</v>
      </c>
      <c r="AW222" s="46">
        <f>I222*AO222</f>
        <v>0</v>
      </c>
      <c r="AX222" s="46">
        <f>I222*AP222</f>
        <v>0</v>
      </c>
      <c r="AY222" s="42" t="s">
        <v>109</v>
      </c>
      <c r="AZ222" s="42" t="s">
        <v>595</v>
      </c>
      <c r="BA222" s="1" t="s">
        <v>1154</v>
      </c>
      <c r="BC222" s="46">
        <f>AW222+AX222</f>
        <v>0</v>
      </c>
      <c r="BD222" s="46">
        <f>J222/(100-BE222)*100</f>
        <v>0</v>
      </c>
      <c r="BE222" s="46">
        <v>0</v>
      </c>
      <c r="BF222" s="46">
        <f>222</f>
        <v>222</v>
      </c>
      <c r="BH222" s="46">
        <f>I222*AO222</f>
        <v>0</v>
      </c>
      <c r="BI222" s="46">
        <f>I222*AP222</f>
        <v>0</v>
      </c>
      <c r="BJ222" s="46">
        <f>I222*J222</f>
        <v>0</v>
      </c>
      <c r="BK222" s="46"/>
      <c r="BL222" s="46">
        <v>87</v>
      </c>
    </row>
    <row r="223" spans="1:64" ht="15" customHeight="1">
      <c r="A223" s="52" t="s">
        <v>993</v>
      </c>
      <c r="B223" s="43" t="s">
        <v>141</v>
      </c>
      <c r="C223" s="43" t="s">
        <v>9</v>
      </c>
      <c r="D223" s="61" t="s">
        <v>587</v>
      </c>
      <c r="E223" s="61"/>
      <c r="F223" s="61"/>
      <c r="G223" s="61"/>
      <c r="H223" s="43" t="s">
        <v>392</v>
      </c>
      <c r="I223" s="46">
        <v>66</v>
      </c>
      <c r="J223" s="46">
        <v>0</v>
      </c>
      <c r="K223" s="46">
        <f>I223*AO223</f>
        <v>0</v>
      </c>
      <c r="L223" s="46">
        <f>I223*AP223</f>
        <v>0</v>
      </c>
      <c r="M223" s="46">
        <f>I223*J223</f>
        <v>0</v>
      </c>
      <c r="N223" s="46">
        <v>5E-05</v>
      </c>
      <c r="O223" s="6" t="s">
        <v>1149</v>
      </c>
      <c r="Z223" s="46">
        <f>IF(AQ223="5",BJ223,0)</f>
        <v>0</v>
      </c>
      <c r="AB223" s="46">
        <f>IF(AQ223="1",BH223,0)</f>
        <v>0</v>
      </c>
      <c r="AC223" s="46">
        <f>IF(AQ223="1",BI223,0)</f>
        <v>0</v>
      </c>
      <c r="AD223" s="46">
        <f>IF(AQ223="7",BH223,0)</f>
        <v>0</v>
      </c>
      <c r="AE223" s="46">
        <f>IF(AQ223="7",BI223,0)</f>
        <v>0</v>
      </c>
      <c r="AF223" s="46">
        <f>IF(AQ223="2",BH223,0)</f>
        <v>0</v>
      </c>
      <c r="AG223" s="46">
        <f>IF(AQ223="2",BI223,0)</f>
        <v>0</v>
      </c>
      <c r="AH223" s="46">
        <f>IF(AQ223="0",BJ223,0)</f>
        <v>0</v>
      </c>
      <c r="AI223" s="1" t="s">
        <v>141</v>
      </c>
      <c r="AJ223" s="46">
        <f>IF(AN223=0,M223,0)</f>
        <v>0</v>
      </c>
      <c r="AK223" s="46">
        <f>IF(AN223=15,M223,0)</f>
        <v>0</v>
      </c>
      <c r="AL223" s="46">
        <f>IF(AN223=21,M223,0)</f>
        <v>0</v>
      </c>
      <c r="AN223" s="46">
        <v>21</v>
      </c>
      <c r="AO223" s="46">
        <f>J223*0.00831423306817671</f>
        <v>0</v>
      </c>
      <c r="AP223" s="46">
        <f>J223*(1-0.00831423306817671)</f>
        <v>0</v>
      </c>
      <c r="AQ223" s="42" t="s">
        <v>1648</v>
      </c>
      <c r="AV223" s="46">
        <f>AW223+AX223</f>
        <v>0</v>
      </c>
      <c r="AW223" s="46">
        <f>I223*AO223</f>
        <v>0</v>
      </c>
      <c r="AX223" s="46">
        <f>I223*AP223</f>
        <v>0</v>
      </c>
      <c r="AY223" s="42" t="s">
        <v>109</v>
      </c>
      <c r="AZ223" s="42" t="s">
        <v>595</v>
      </c>
      <c r="BA223" s="1" t="s">
        <v>1154</v>
      </c>
      <c r="BC223" s="46">
        <f>AW223+AX223</f>
        <v>0</v>
      </c>
      <c r="BD223" s="46">
        <f>J223/(100-BE223)*100</f>
        <v>0</v>
      </c>
      <c r="BE223" s="46">
        <v>0</v>
      </c>
      <c r="BF223" s="46">
        <f>223</f>
        <v>223</v>
      </c>
      <c r="BH223" s="46">
        <f>I223*AO223</f>
        <v>0</v>
      </c>
      <c r="BI223" s="46">
        <f>I223*AP223</f>
        <v>0</v>
      </c>
      <c r="BJ223" s="46">
        <f>I223*J223</f>
        <v>0</v>
      </c>
      <c r="BK223" s="46"/>
      <c r="BL223" s="46">
        <v>87</v>
      </c>
    </row>
    <row r="224" spans="1:15" ht="15" customHeight="1">
      <c r="A224" s="10"/>
      <c r="D224" s="32" t="s">
        <v>1051</v>
      </c>
      <c r="G224" s="32" t="s">
        <v>1163</v>
      </c>
      <c r="I224" s="58">
        <v>66</v>
      </c>
      <c r="O224" s="30"/>
    </row>
    <row r="225" spans="1:64" ht="15" customHeight="1">
      <c r="A225" s="52" t="s">
        <v>804</v>
      </c>
      <c r="B225" s="43" t="s">
        <v>141</v>
      </c>
      <c r="C225" s="43" t="s">
        <v>1405</v>
      </c>
      <c r="D225" s="61" t="s">
        <v>336</v>
      </c>
      <c r="E225" s="61"/>
      <c r="F225" s="61"/>
      <c r="G225" s="61"/>
      <c r="H225" s="43" t="s">
        <v>392</v>
      </c>
      <c r="I225" s="46">
        <v>66</v>
      </c>
      <c r="J225" s="46">
        <v>0</v>
      </c>
      <c r="K225" s="46">
        <f>I225*AO225</f>
        <v>0</v>
      </c>
      <c r="L225" s="46">
        <f>I225*AP225</f>
        <v>0</v>
      </c>
      <c r="M225" s="46">
        <f>I225*J225</f>
        <v>0</v>
      </c>
      <c r="N225" s="46">
        <v>0.006</v>
      </c>
      <c r="O225" s="6" t="s">
        <v>1149</v>
      </c>
      <c r="Z225" s="46">
        <f>IF(AQ225="5",BJ225,0)</f>
        <v>0</v>
      </c>
      <c r="AB225" s="46">
        <f>IF(AQ225="1",BH225,0)</f>
        <v>0</v>
      </c>
      <c r="AC225" s="46">
        <f>IF(AQ225="1",BI225,0)</f>
        <v>0</v>
      </c>
      <c r="AD225" s="46">
        <f>IF(AQ225="7",BH225,0)</f>
        <v>0</v>
      </c>
      <c r="AE225" s="46">
        <f>IF(AQ225="7",BI225,0)</f>
        <v>0</v>
      </c>
      <c r="AF225" s="46">
        <f>IF(AQ225="2",BH225,0)</f>
        <v>0</v>
      </c>
      <c r="AG225" s="46">
        <f>IF(AQ225="2",BI225,0)</f>
        <v>0</v>
      </c>
      <c r="AH225" s="46">
        <f>IF(AQ225="0",BJ225,0)</f>
        <v>0</v>
      </c>
      <c r="AI225" s="1" t="s">
        <v>141</v>
      </c>
      <c r="AJ225" s="46">
        <f>IF(AN225=0,M225,0)</f>
        <v>0</v>
      </c>
      <c r="AK225" s="46">
        <f>IF(AN225=15,M225,0)</f>
        <v>0</v>
      </c>
      <c r="AL225" s="46">
        <f>IF(AN225=21,M225,0)</f>
        <v>0</v>
      </c>
      <c r="AN225" s="46">
        <v>21</v>
      </c>
      <c r="AO225" s="46">
        <f>J225*1</f>
        <v>0</v>
      </c>
      <c r="AP225" s="46">
        <f>J225*(1-1)</f>
        <v>0</v>
      </c>
      <c r="AQ225" s="42" t="s">
        <v>1648</v>
      </c>
      <c r="AV225" s="46">
        <f>AW225+AX225</f>
        <v>0</v>
      </c>
      <c r="AW225" s="46">
        <f>I225*AO225</f>
        <v>0</v>
      </c>
      <c r="AX225" s="46">
        <f>I225*AP225</f>
        <v>0</v>
      </c>
      <c r="AY225" s="42" t="s">
        <v>109</v>
      </c>
      <c r="AZ225" s="42" t="s">
        <v>595</v>
      </c>
      <c r="BA225" s="1" t="s">
        <v>1154</v>
      </c>
      <c r="BC225" s="46">
        <f>AW225+AX225</f>
        <v>0</v>
      </c>
      <c r="BD225" s="46">
        <f>J225/(100-BE225)*100</f>
        <v>0</v>
      </c>
      <c r="BE225" s="46">
        <v>0</v>
      </c>
      <c r="BF225" s="46">
        <f>225</f>
        <v>225</v>
      </c>
      <c r="BH225" s="46">
        <f>I225*AO225</f>
        <v>0</v>
      </c>
      <c r="BI225" s="46">
        <f>I225*AP225</f>
        <v>0</v>
      </c>
      <c r="BJ225" s="46">
        <f>I225*J225</f>
        <v>0</v>
      </c>
      <c r="BK225" s="46"/>
      <c r="BL225" s="46">
        <v>87</v>
      </c>
    </row>
    <row r="226" spans="1:15" ht="15" customHeight="1">
      <c r="A226" s="10"/>
      <c r="D226" s="32" t="s">
        <v>1051</v>
      </c>
      <c r="G226" s="32" t="s">
        <v>685</v>
      </c>
      <c r="I226" s="58">
        <v>66</v>
      </c>
      <c r="O226" s="30"/>
    </row>
    <row r="227" spans="1:64" ht="15" customHeight="1">
      <c r="A227" s="52" t="s">
        <v>1097</v>
      </c>
      <c r="B227" s="43" t="s">
        <v>141</v>
      </c>
      <c r="C227" s="43" t="s">
        <v>1713</v>
      </c>
      <c r="D227" s="61" t="s">
        <v>839</v>
      </c>
      <c r="E227" s="61"/>
      <c r="F227" s="61"/>
      <c r="G227" s="61"/>
      <c r="H227" s="43" t="s">
        <v>392</v>
      </c>
      <c r="I227" s="46">
        <v>66</v>
      </c>
      <c r="J227" s="46">
        <v>0</v>
      </c>
      <c r="K227" s="46">
        <f>I227*AO227</f>
        <v>0</v>
      </c>
      <c r="L227" s="46">
        <f>I227*AP227</f>
        <v>0</v>
      </c>
      <c r="M227" s="46">
        <f>I227*J227</f>
        <v>0</v>
      </c>
      <c r="N227" s="46">
        <v>7E-05</v>
      </c>
      <c r="O227" s="6" t="s">
        <v>1149</v>
      </c>
      <c r="Z227" s="46">
        <f>IF(AQ227="5",BJ227,0)</f>
        <v>0</v>
      </c>
      <c r="AB227" s="46">
        <f>IF(AQ227="1",BH227,0)</f>
        <v>0</v>
      </c>
      <c r="AC227" s="46">
        <f>IF(AQ227="1",BI227,0)</f>
        <v>0</v>
      </c>
      <c r="AD227" s="46">
        <f>IF(AQ227="7",BH227,0)</f>
        <v>0</v>
      </c>
      <c r="AE227" s="46">
        <f>IF(AQ227="7",BI227,0)</f>
        <v>0</v>
      </c>
      <c r="AF227" s="46">
        <f>IF(AQ227="2",BH227,0)</f>
        <v>0</v>
      </c>
      <c r="AG227" s="46">
        <f>IF(AQ227="2",BI227,0)</f>
        <v>0</v>
      </c>
      <c r="AH227" s="46">
        <f>IF(AQ227="0",BJ227,0)</f>
        <v>0</v>
      </c>
      <c r="AI227" s="1" t="s">
        <v>141</v>
      </c>
      <c r="AJ227" s="46">
        <f>IF(AN227=0,M227,0)</f>
        <v>0</v>
      </c>
      <c r="AK227" s="46">
        <f>IF(AN227=15,M227,0)</f>
        <v>0</v>
      </c>
      <c r="AL227" s="46">
        <f>IF(AN227=21,M227,0)</f>
        <v>0</v>
      </c>
      <c r="AN227" s="46">
        <v>21</v>
      </c>
      <c r="AO227" s="46">
        <f>J227*0.00921843687374749</f>
        <v>0</v>
      </c>
      <c r="AP227" s="46">
        <f>J227*(1-0.00921843687374749)</f>
        <v>0</v>
      </c>
      <c r="AQ227" s="42" t="s">
        <v>1648</v>
      </c>
      <c r="AV227" s="46">
        <f>AW227+AX227</f>
        <v>0</v>
      </c>
      <c r="AW227" s="46">
        <f>I227*AO227</f>
        <v>0</v>
      </c>
      <c r="AX227" s="46">
        <f>I227*AP227</f>
        <v>0</v>
      </c>
      <c r="AY227" s="42" t="s">
        <v>109</v>
      </c>
      <c r="AZ227" s="42" t="s">
        <v>595</v>
      </c>
      <c r="BA227" s="1" t="s">
        <v>1154</v>
      </c>
      <c r="BC227" s="46">
        <f>AW227+AX227</f>
        <v>0</v>
      </c>
      <c r="BD227" s="46">
        <f>J227/(100-BE227)*100</f>
        <v>0</v>
      </c>
      <c r="BE227" s="46">
        <v>0</v>
      </c>
      <c r="BF227" s="46">
        <f>227</f>
        <v>227</v>
      </c>
      <c r="BH227" s="46">
        <f>I227*AO227</f>
        <v>0</v>
      </c>
      <c r="BI227" s="46">
        <f>I227*AP227</f>
        <v>0</v>
      </c>
      <c r="BJ227" s="46">
        <f>I227*J227</f>
        <v>0</v>
      </c>
      <c r="BK227" s="46"/>
      <c r="BL227" s="46">
        <v>87</v>
      </c>
    </row>
    <row r="228" spans="1:64" ht="15" customHeight="1">
      <c r="A228" s="52" t="s">
        <v>76</v>
      </c>
      <c r="B228" s="43" t="s">
        <v>141</v>
      </c>
      <c r="C228" s="43" t="s">
        <v>1007</v>
      </c>
      <c r="D228" s="61" t="s">
        <v>1083</v>
      </c>
      <c r="E228" s="61"/>
      <c r="F228" s="61"/>
      <c r="G228" s="61"/>
      <c r="H228" s="43" t="s">
        <v>392</v>
      </c>
      <c r="I228" s="46">
        <v>66</v>
      </c>
      <c r="J228" s="46">
        <v>0</v>
      </c>
      <c r="K228" s="46">
        <f>I228*AO228</f>
        <v>0</v>
      </c>
      <c r="L228" s="46">
        <f>I228*AP228</f>
        <v>0</v>
      </c>
      <c r="M228" s="46">
        <f>I228*J228</f>
        <v>0</v>
      </c>
      <c r="N228" s="46">
        <v>0.00224</v>
      </c>
      <c r="O228" s="6" t="s">
        <v>1149</v>
      </c>
      <c r="Z228" s="46">
        <f>IF(AQ228="5",BJ228,0)</f>
        <v>0</v>
      </c>
      <c r="AB228" s="46">
        <f>IF(AQ228="1",BH228,0)</f>
        <v>0</v>
      </c>
      <c r="AC228" s="46">
        <f>IF(AQ228="1",BI228,0)</f>
        <v>0</v>
      </c>
      <c r="AD228" s="46">
        <f>IF(AQ228="7",BH228,0)</f>
        <v>0</v>
      </c>
      <c r="AE228" s="46">
        <f>IF(AQ228="7",BI228,0)</f>
        <v>0</v>
      </c>
      <c r="AF228" s="46">
        <f>IF(AQ228="2",BH228,0)</f>
        <v>0</v>
      </c>
      <c r="AG228" s="46">
        <f>IF(AQ228="2",BI228,0)</f>
        <v>0</v>
      </c>
      <c r="AH228" s="46">
        <f>IF(AQ228="0",BJ228,0)</f>
        <v>0</v>
      </c>
      <c r="AI228" s="1" t="s">
        <v>141</v>
      </c>
      <c r="AJ228" s="46">
        <f>IF(AN228=0,M228,0)</f>
        <v>0</v>
      </c>
      <c r="AK228" s="46">
        <f>IF(AN228=15,M228,0)</f>
        <v>0</v>
      </c>
      <c r="AL228" s="46">
        <f>IF(AN228=21,M228,0)</f>
        <v>0</v>
      </c>
      <c r="AN228" s="46">
        <v>21</v>
      </c>
      <c r="AO228" s="46">
        <f>J228*1</f>
        <v>0</v>
      </c>
      <c r="AP228" s="46">
        <f>J228*(1-1)</f>
        <v>0</v>
      </c>
      <c r="AQ228" s="42" t="s">
        <v>1648</v>
      </c>
      <c r="AV228" s="46">
        <f>AW228+AX228</f>
        <v>0</v>
      </c>
      <c r="AW228" s="46">
        <f>I228*AO228</f>
        <v>0</v>
      </c>
      <c r="AX228" s="46">
        <f>I228*AP228</f>
        <v>0</v>
      </c>
      <c r="AY228" s="42" t="s">
        <v>109</v>
      </c>
      <c r="AZ228" s="42" t="s">
        <v>595</v>
      </c>
      <c r="BA228" s="1" t="s">
        <v>1154</v>
      </c>
      <c r="BC228" s="46">
        <f>AW228+AX228</f>
        <v>0</v>
      </c>
      <c r="BD228" s="46">
        <f>J228/(100-BE228)*100</f>
        <v>0</v>
      </c>
      <c r="BE228" s="46">
        <v>0</v>
      </c>
      <c r="BF228" s="46">
        <f>228</f>
        <v>228</v>
      </c>
      <c r="BH228" s="46">
        <f>I228*AO228</f>
        <v>0</v>
      </c>
      <c r="BI228" s="46">
        <f>I228*AP228</f>
        <v>0</v>
      </c>
      <c r="BJ228" s="46">
        <f>I228*J228</f>
        <v>0</v>
      </c>
      <c r="BK228" s="46"/>
      <c r="BL228" s="46">
        <v>87</v>
      </c>
    </row>
    <row r="229" spans="1:64" ht="15" customHeight="1">
      <c r="A229" s="52" t="s">
        <v>1777</v>
      </c>
      <c r="B229" s="43" t="s">
        <v>141</v>
      </c>
      <c r="C229" s="43" t="s">
        <v>183</v>
      </c>
      <c r="D229" s="61" t="s">
        <v>1611</v>
      </c>
      <c r="E229" s="61"/>
      <c r="F229" s="61"/>
      <c r="G229" s="61"/>
      <c r="H229" s="43" t="s">
        <v>1365</v>
      </c>
      <c r="I229" s="46">
        <v>442.6</v>
      </c>
      <c r="J229" s="46">
        <v>0</v>
      </c>
      <c r="K229" s="46">
        <f>I229*AO229</f>
        <v>0</v>
      </c>
      <c r="L229" s="46">
        <f>I229*AP229</f>
        <v>0</v>
      </c>
      <c r="M229" s="46">
        <f>I229*J229</f>
        <v>0</v>
      </c>
      <c r="N229" s="46">
        <v>0</v>
      </c>
      <c r="O229" s="6" t="s">
        <v>1149</v>
      </c>
      <c r="Z229" s="46">
        <f>IF(AQ229="5",BJ229,0)</f>
        <v>0</v>
      </c>
      <c r="AB229" s="46">
        <f>IF(AQ229="1",BH229,0)</f>
        <v>0</v>
      </c>
      <c r="AC229" s="46">
        <f>IF(AQ229="1",BI229,0)</f>
        <v>0</v>
      </c>
      <c r="AD229" s="46">
        <f>IF(AQ229="7",BH229,0)</f>
        <v>0</v>
      </c>
      <c r="AE229" s="46">
        <f>IF(AQ229="7",BI229,0)</f>
        <v>0</v>
      </c>
      <c r="AF229" s="46">
        <f>IF(AQ229="2",BH229,0)</f>
        <v>0</v>
      </c>
      <c r="AG229" s="46">
        <f>IF(AQ229="2",BI229,0)</f>
        <v>0</v>
      </c>
      <c r="AH229" s="46">
        <f>IF(AQ229="0",BJ229,0)</f>
        <v>0</v>
      </c>
      <c r="AI229" s="1" t="s">
        <v>141</v>
      </c>
      <c r="AJ229" s="46">
        <f>IF(AN229=0,M229,0)</f>
        <v>0</v>
      </c>
      <c r="AK229" s="46">
        <f>IF(AN229=15,M229,0)</f>
        <v>0</v>
      </c>
      <c r="AL229" s="46">
        <f>IF(AN229=21,M229,0)</f>
        <v>0</v>
      </c>
      <c r="AN229" s="46">
        <v>21</v>
      </c>
      <c r="AO229" s="46">
        <f>J229*0.00459770114942529</f>
        <v>0</v>
      </c>
      <c r="AP229" s="46">
        <f>J229*(1-0.00459770114942529)</f>
        <v>0</v>
      </c>
      <c r="AQ229" s="42" t="s">
        <v>1648</v>
      </c>
      <c r="AV229" s="46">
        <f>AW229+AX229</f>
        <v>0</v>
      </c>
      <c r="AW229" s="46">
        <f>I229*AO229</f>
        <v>0</v>
      </c>
      <c r="AX229" s="46">
        <f>I229*AP229</f>
        <v>0</v>
      </c>
      <c r="AY229" s="42" t="s">
        <v>109</v>
      </c>
      <c r="AZ229" s="42" t="s">
        <v>595</v>
      </c>
      <c r="BA229" s="1" t="s">
        <v>1154</v>
      </c>
      <c r="BC229" s="46">
        <f>AW229+AX229</f>
        <v>0</v>
      </c>
      <c r="BD229" s="46">
        <f>J229/(100-BE229)*100</f>
        <v>0</v>
      </c>
      <c r="BE229" s="46">
        <v>0</v>
      </c>
      <c r="BF229" s="46">
        <f>229</f>
        <v>229</v>
      </c>
      <c r="BH229" s="46">
        <f>I229*AO229</f>
        <v>0</v>
      </c>
      <c r="BI229" s="46">
        <f>I229*AP229</f>
        <v>0</v>
      </c>
      <c r="BJ229" s="46">
        <f>I229*J229</f>
        <v>0</v>
      </c>
      <c r="BK229" s="46"/>
      <c r="BL229" s="46">
        <v>87</v>
      </c>
    </row>
    <row r="230" spans="1:15" ht="15" customHeight="1">
      <c r="A230" s="10"/>
      <c r="D230" s="32" t="s">
        <v>1150</v>
      </c>
      <c r="G230" s="32" t="s">
        <v>513</v>
      </c>
      <c r="I230" s="58">
        <v>168.4</v>
      </c>
      <c r="O230" s="30"/>
    </row>
    <row r="231" spans="1:15" ht="15" customHeight="1">
      <c r="A231" s="10"/>
      <c r="D231" s="32" t="s">
        <v>1671</v>
      </c>
      <c r="G231" s="32" t="s">
        <v>1163</v>
      </c>
      <c r="I231" s="58">
        <v>41.1</v>
      </c>
      <c r="O231" s="30"/>
    </row>
    <row r="232" spans="1:15" ht="15" customHeight="1">
      <c r="A232" s="10"/>
      <c r="D232" s="32" t="s">
        <v>1324</v>
      </c>
      <c r="G232" s="32" t="s">
        <v>1163</v>
      </c>
      <c r="I232" s="58">
        <v>115.60000000000001</v>
      </c>
      <c r="O232" s="30"/>
    </row>
    <row r="233" spans="1:15" ht="15" customHeight="1">
      <c r="A233" s="10"/>
      <c r="D233" s="32" t="s">
        <v>115</v>
      </c>
      <c r="G233" s="32" t="s">
        <v>1163</v>
      </c>
      <c r="I233" s="58">
        <v>28.6</v>
      </c>
      <c r="O233" s="30"/>
    </row>
    <row r="234" spans="1:15" ht="15" customHeight="1">
      <c r="A234" s="10"/>
      <c r="D234" s="32" t="s">
        <v>12</v>
      </c>
      <c r="G234" s="32" t="s">
        <v>1163</v>
      </c>
      <c r="I234" s="58">
        <v>88.9</v>
      </c>
      <c r="O234" s="30"/>
    </row>
    <row r="235" spans="1:64" ht="15" customHeight="1">
      <c r="A235" s="52" t="s">
        <v>1754</v>
      </c>
      <c r="B235" s="43" t="s">
        <v>141</v>
      </c>
      <c r="C235" s="43" t="s">
        <v>1483</v>
      </c>
      <c r="D235" s="61" t="s">
        <v>1731</v>
      </c>
      <c r="E235" s="61"/>
      <c r="F235" s="61"/>
      <c r="G235" s="61"/>
      <c r="H235" s="43" t="s">
        <v>392</v>
      </c>
      <c r="I235" s="46">
        <v>155</v>
      </c>
      <c r="J235" s="46">
        <v>0</v>
      </c>
      <c r="K235" s="46">
        <f>I235*AO235</f>
        <v>0</v>
      </c>
      <c r="L235" s="46">
        <f>I235*AP235</f>
        <v>0</v>
      </c>
      <c r="M235" s="46">
        <f>I235*J235</f>
        <v>0</v>
      </c>
      <c r="N235" s="46">
        <v>0.0088</v>
      </c>
      <c r="O235" s="6" t="s">
        <v>1149</v>
      </c>
      <c r="Z235" s="46">
        <f>IF(AQ235="5",BJ235,0)</f>
        <v>0</v>
      </c>
      <c r="AB235" s="46">
        <f>IF(AQ235="1",BH235,0)</f>
        <v>0</v>
      </c>
      <c r="AC235" s="46">
        <f>IF(AQ235="1",BI235,0)</f>
        <v>0</v>
      </c>
      <c r="AD235" s="46">
        <f>IF(AQ235="7",BH235,0)</f>
        <v>0</v>
      </c>
      <c r="AE235" s="46">
        <f>IF(AQ235="7",BI235,0)</f>
        <v>0</v>
      </c>
      <c r="AF235" s="46">
        <f>IF(AQ235="2",BH235,0)</f>
        <v>0</v>
      </c>
      <c r="AG235" s="46">
        <f>IF(AQ235="2",BI235,0)</f>
        <v>0</v>
      </c>
      <c r="AH235" s="46">
        <f>IF(AQ235="0",BJ235,0)</f>
        <v>0</v>
      </c>
      <c r="AI235" s="1" t="s">
        <v>141</v>
      </c>
      <c r="AJ235" s="46">
        <f>IF(AN235=0,M235,0)</f>
        <v>0</v>
      </c>
      <c r="AK235" s="46">
        <f>IF(AN235=15,M235,0)</f>
        <v>0</v>
      </c>
      <c r="AL235" s="46">
        <f>IF(AN235=21,M235,0)</f>
        <v>0</v>
      </c>
      <c r="AN235" s="46">
        <v>21</v>
      </c>
      <c r="AO235" s="46">
        <f>J235*1</f>
        <v>0</v>
      </c>
      <c r="AP235" s="46">
        <f>J235*(1-1)</f>
        <v>0</v>
      </c>
      <c r="AQ235" s="42" t="s">
        <v>1648</v>
      </c>
      <c r="AV235" s="46">
        <f>AW235+AX235</f>
        <v>0</v>
      </c>
      <c r="AW235" s="46">
        <f>I235*AO235</f>
        <v>0</v>
      </c>
      <c r="AX235" s="46">
        <f>I235*AP235</f>
        <v>0</v>
      </c>
      <c r="AY235" s="42" t="s">
        <v>109</v>
      </c>
      <c r="AZ235" s="42" t="s">
        <v>595</v>
      </c>
      <c r="BA235" s="1" t="s">
        <v>1154</v>
      </c>
      <c r="BC235" s="46">
        <f>AW235+AX235</f>
        <v>0</v>
      </c>
      <c r="BD235" s="46">
        <f>J235/(100-BE235)*100</f>
        <v>0</v>
      </c>
      <c r="BE235" s="46">
        <v>0</v>
      </c>
      <c r="BF235" s="46">
        <f>235</f>
        <v>235</v>
      </c>
      <c r="BH235" s="46">
        <f>I235*AO235</f>
        <v>0</v>
      </c>
      <c r="BI235" s="46">
        <f>I235*AP235</f>
        <v>0</v>
      </c>
      <c r="BJ235" s="46">
        <f>I235*J235</f>
        <v>0</v>
      </c>
      <c r="BK235" s="46"/>
      <c r="BL235" s="46">
        <v>87</v>
      </c>
    </row>
    <row r="236" spans="1:15" ht="15" customHeight="1">
      <c r="A236" s="10"/>
      <c r="D236" s="32" t="s">
        <v>1745</v>
      </c>
      <c r="G236" s="32" t="s">
        <v>519</v>
      </c>
      <c r="I236" s="58">
        <v>155</v>
      </c>
      <c r="O236" s="30"/>
    </row>
    <row r="237" spans="1:47" ht="15" customHeight="1">
      <c r="A237" s="3" t="s">
        <v>1163</v>
      </c>
      <c r="B237" s="9" t="s">
        <v>141</v>
      </c>
      <c r="C237" s="9" t="s">
        <v>1754</v>
      </c>
      <c r="D237" s="64" t="s">
        <v>1089</v>
      </c>
      <c r="E237" s="64"/>
      <c r="F237" s="64"/>
      <c r="G237" s="64"/>
      <c r="H237" s="41" t="s">
        <v>1537</v>
      </c>
      <c r="I237" s="41" t="s">
        <v>1537</v>
      </c>
      <c r="J237" s="41" t="s">
        <v>1537</v>
      </c>
      <c r="K237" s="50">
        <f>SUM(K238:K290)</f>
        <v>0</v>
      </c>
      <c r="L237" s="50">
        <f>SUM(L238:L290)</f>
        <v>0</v>
      </c>
      <c r="M237" s="50">
        <f>SUM(M238:M290)</f>
        <v>0</v>
      </c>
      <c r="N237" s="1" t="s">
        <v>1163</v>
      </c>
      <c r="O237" s="45" t="s">
        <v>1163</v>
      </c>
      <c r="AI237" s="1" t="s">
        <v>141</v>
      </c>
      <c r="AS237" s="50">
        <f>SUM(AJ238:AJ290)</f>
        <v>0</v>
      </c>
      <c r="AT237" s="50">
        <f>SUM(AK238:AK290)</f>
        <v>0</v>
      </c>
      <c r="AU237" s="50">
        <f>SUM(AL238:AL290)</f>
        <v>0</v>
      </c>
    </row>
    <row r="238" spans="1:64" ht="15" customHeight="1">
      <c r="A238" s="52" t="s">
        <v>1749</v>
      </c>
      <c r="B238" s="43" t="s">
        <v>141</v>
      </c>
      <c r="C238" s="43" t="s">
        <v>405</v>
      </c>
      <c r="D238" s="61" t="s">
        <v>395</v>
      </c>
      <c r="E238" s="61"/>
      <c r="F238" s="61"/>
      <c r="G238" s="61"/>
      <c r="H238" s="43" t="s">
        <v>1365</v>
      </c>
      <c r="I238" s="46">
        <v>460.5</v>
      </c>
      <c r="J238" s="46">
        <v>0</v>
      </c>
      <c r="K238" s="46">
        <f>I238*AO238</f>
        <v>0</v>
      </c>
      <c r="L238" s="46">
        <f>I238*AP238</f>
        <v>0</v>
      </c>
      <c r="M238" s="46">
        <f>I238*J238</f>
        <v>0</v>
      </c>
      <c r="N238" s="46">
        <v>0</v>
      </c>
      <c r="O238" s="6" t="s">
        <v>1149</v>
      </c>
      <c r="Z238" s="46">
        <f>IF(AQ238="5",BJ238,0)</f>
        <v>0</v>
      </c>
      <c r="AB238" s="46">
        <f>IF(AQ238="1",BH238,0)</f>
        <v>0</v>
      </c>
      <c r="AC238" s="46">
        <f>IF(AQ238="1",BI238,0)</f>
        <v>0</v>
      </c>
      <c r="AD238" s="46">
        <f>IF(AQ238="7",BH238,0)</f>
        <v>0</v>
      </c>
      <c r="AE238" s="46">
        <f>IF(AQ238="7",BI238,0)</f>
        <v>0</v>
      </c>
      <c r="AF238" s="46">
        <f>IF(AQ238="2",BH238,0)</f>
        <v>0</v>
      </c>
      <c r="AG238" s="46">
        <f>IF(AQ238="2",BI238,0)</f>
        <v>0</v>
      </c>
      <c r="AH238" s="46">
        <f>IF(AQ238="0",BJ238,0)</f>
        <v>0</v>
      </c>
      <c r="AI238" s="1" t="s">
        <v>141</v>
      </c>
      <c r="AJ238" s="46">
        <f>IF(AN238=0,M238,0)</f>
        <v>0</v>
      </c>
      <c r="AK238" s="46">
        <f>IF(AN238=15,M238,0)</f>
        <v>0</v>
      </c>
      <c r="AL238" s="46">
        <f>IF(AN238=21,M238,0)</f>
        <v>0</v>
      </c>
      <c r="AN238" s="46">
        <v>21</v>
      </c>
      <c r="AO238" s="46">
        <f>J238*0.0889830508474576</f>
        <v>0</v>
      </c>
      <c r="AP238" s="46">
        <f>J238*(1-0.0889830508474576)</f>
        <v>0</v>
      </c>
      <c r="AQ238" s="42" t="s">
        <v>1648</v>
      </c>
      <c r="AV238" s="46">
        <f>AW238+AX238</f>
        <v>0</v>
      </c>
      <c r="AW238" s="46">
        <f>I238*AO238</f>
        <v>0</v>
      </c>
      <c r="AX238" s="46">
        <f>I238*AP238</f>
        <v>0</v>
      </c>
      <c r="AY238" s="42" t="s">
        <v>132</v>
      </c>
      <c r="AZ238" s="42" t="s">
        <v>595</v>
      </c>
      <c r="BA238" s="1" t="s">
        <v>1154</v>
      </c>
      <c r="BC238" s="46">
        <f>AW238+AX238</f>
        <v>0</v>
      </c>
      <c r="BD238" s="46">
        <f>J238/(100-BE238)*100</f>
        <v>0</v>
      </c>
      <c r="BE238" s="46">
        <v>0</v>
      </c>
      <c r="BF238" s="46">
        <f>238</f>
        <v>238</v>
      </c>
      <c r="BH238" s="46">
        <f>I238*AO238</f>
        <v>0</v>
      </c>
      <c r="BI238" s="46">
        <f>I238*AP238</f>
        <v>0</v>
      </c>
      <c r="BJ238" s="46">
        <f>I238*J238</f>
        <v>0</v>
      </c>
      <c r="BK238" s="46"/>
      <c r="BL238" s="46">
        <v>89</v>
      </c>
    </row>
    <row r="239" spans="1:64" ht="15" customHeight="1">
      <c r="A239" s="52" t="s">
        <v>74</v>
      </c>
      <c r="B239" s="43" t="s">
        <v>141</v>
      </c>
      <c r="C239" s="43" t="s">
        <v>860</v>
      </c>
      <c r="D239" s="61" t="s">
        <v>176</v>
      </c>
      <c r="E239" s="61"/>
      <c r="F239" s="61"/>
      <c r="G239" s="61"/>
      <c r="H239" s="43" t="s">
        <v>1780</v>
      </c>
      <c r="I239" s="46">
        <v>13</v>
      </c>
      <c r="J239" s="46">
        <v>0</v>
      </c>
      <c r="K239" s="46">
        <f>I239*AO239</f>
        <v>0</v>
      </c>
      <c r="L239" s="46">
        <f>I239*AP239</f>
        <v>0</v>
      </c>
      <c r="M239" s="46">
        <f>I239*J239</f>
        <v>0</v>
      </c>
      <c r="N239" s="46">
        <v>0.00017</v>
      </c>
      <c r="O239" s="6" t="s">
        <v>1149</v>
      </c>
      <c r="Z239" s="46">
        <f>IF(AQ239="5",BJ239,0)</f>
        <v>0</v>
      </c>
      <c r="AB239" s="46">
        <f>IF(AQ239="1",BH239,0)</f>
        <v>0</v>
      </c>
      <c r="AC239" s="46">
        <f>IF(AQ239="1",BI239,0)</f>
        <v>0</v>
      </c>
      <c r="AD239" s="46">
        <f>IF(AQ239="7",BH239,0)</f>
        <v>0</v>
      </c>
      <c r="AE239" s="46">
        <f>IF(AQ239="7",BI239,0)</f>
        <v>0</v>
      </c>
      <c r="AF239" s="46">
        <f>IF(AQ239="2",BH239,0)</f>
        <v>0</v>
      </c>
      <c r="AG239" s="46">
        <f>IF(AQ239="2",BI239,0)</f>
        <v>0</v>
      </c>
      <c r="AH239" s="46">
        <f>IF(AQ239="0",BJ239,0)</f>
        <v>0</v>
      </c>
      <c r="AI239" s="1" t="s">
        <v>141</v>
      </c>
      <c r="AJ239" s="46">
        <f>IF(AN239=0,M239,0)</f>
        <v>0</v>
      </c>
      <c r="AK239" s="46">
        <f>IF(AN239=15,M239,0)</f>
        <v>0</v>
      </c>
      <c r="AL239" s="46">
        <f>IF(AN239=21,M239,0)</f>
        <v>0</v>
      </c>
      <c r="AN239" s="46">
        <v>21</v>
      </c>
      <c r="AO239" s="46">
        <f>J239*0.100544186046512</f>
        <v>0</v>
      </c>
      <c r="AP239" s="46">
        <f>J239*(1-0.100544186046512)</f>
        <v>0</v>
      </c>
      <c r="AQ239" s="42" t="s">
        <v>1648</v>
      </c>
      <c r="AV239" s="46">
        <f>AW239+AX239</f>
        <v>0</v>
      </c>
      <c r="AW239" s="46">
        <f>I239*AO239</f>
        <v>0</v>
      </c>
      <c r="AX239" s="46">
        <f>I239*AP239</f>
        <v>0</v>
      </c>
      <c r="AY239" s="42" t="s">
        <v>132</v>
      </c>
      <c r="AZ239" s="42" t="s">
        <v>595</v>
      </c>
      <c r="BA239" s="1" t="s">
        <v>1154</v>
      </c>
      <c r="BC239" s="46">
        <f>AW239+AX239</f>
        <v>0</v>
      </c>
      <c r="BD239" s="46">
        <f>J239/(100-BE239)*100</f>
        <v>0</v>
      </c>
      <c r="BE239" s="46">
        <v>0</v>
      </c>
      <c r="BF239" s="46">
        <f>239</f>
        <v>239</v>
      </c>
      <c r="BH239" s="46">
        <f>I239*AO239</f>
        <v>0</v>
      </c>
      <c r="BI239" s="46">
        <f>I239*AP239</f>
        <v>0</v>
      </c>
      <c r="BJ239" s="46">
        <f>I239*J239</f>
        <v>0</v>
      </c>
      <c r="BK239" s="46"/>
      <c r="BL239" s="46">
        <v>89</v>
      </c>
    </row>
    <row r="240" spans="1:15" ht="15" customHeight="1">
      <c r="A240" s="10"/>
      <c r="D240" s="32" t="s">
        <v>1056</v>
      </c>
      <c r="G240" s="32" t="s">
        <v>1163</v>
      </c>
      <c r="I240" s="58">
        <v>13.000000000000002</v>
      </c>
      <c r="O240" s="30"/>
    </row>
    <row r="241" spans="1:64" ht="15" customHeight="1">
      <c r="A241" s="52" t="s">
        <v>4</v>
      </c>
      <c r="B241" s="43" t="s">
        <v>141</v>
      </c>
      <c r="C241" s="43" t="s">
        <v>883</v>
      </c>
      <c r="D241" s="61" t="s">
        <v>429</v>
      </c>
      <c r="E241" s="61"/>
      <c r="F241" s="61"/>
      <c r="G241" s="61"/>
      <c r="H241" s="43" t="s">
        <v>322</v>
      </c>
      <c r="I241" s="46">
        <v>66</v>
      </c>
      <c r="J241" s="46">
        <v>0</v>
      </c>
      <c r="K241" s="46">
        <f>I241*AO241</f>
        <v>0</v>
      </c>
      <c r="L241" s="46">
        <f>I241*AP241</f>
        <v>0</v>
      </c>
      <c r="M241" s="46">
        <f>I241*J241</f>
        <v>0</v>
      </c>
      <c r="N241" s="46">
        <v>2E-05</v>
      </c>
      <c r="O241" s="6" t="s">
        <v>1149</v>
      </c>
      <c r="Z241" s="46">
        <f>IF(AQ241="5",BJ241,0)</f>
        <v>0</v>
      </c>
      <c r="AB241" s="46">
        <f>IF(AQ241="1",BH241,0)</f>
        <v>0</v>
      </c>
      <c r="AC241" s="46">
        <f>IF(AQ241="1",BI241,0)</f>
        <v>0</v>
      </c>
      <c r="AD241" s="46">
        <f>IF(AQ241="7",BH241,0)</f>
        <v>0</v>
      </c>
      <c r="AE241" s="46">
        <f>IF(AQ241="7",BI241,0)</f>
        <v>0</v>
      </c>
      <c r="AF241" s="46">
        <f>IF(AQ241="2",BH241,0)</f>
        <v>0</v>
      </c>
      <c r="AG241" s="46">
        <f>IF(AQ241="2",BI241,0)</f>
        <v>0</v>
      </c>
      <c r="AH241" s="46">
        <f>IF(AQ241="0",BJ241,0)</f>
        <v>0</v>
      </c>
      <c r="AI241" s="1" t="s">
        <v>141</v>
      </c>
      <c r="AJ241" s="46">
        <f>IF(AN241=0,M241,0)</f>
        <v>0</v>
      </c>
      <c r="AK241" s="46">
        <f>IF(AN241=15,M241,0)</f>
        <v>0</v>
      </c>
      <c r="AL241" s="46">
        <f>IF(AN241=21,M241,0)</f>
        <v>0</v>
      </c>
      <c r="AN241" s="46">
        <v>21</v>
      </c>
      <c r="AO241" s="46">
        <f>J241*0.33300395256917</f>
        <v>0</v>
      </c>
      <c r="AP241" s="46">
        <f>J241*(1-0.33300395256917)</f>
        <v>0</v>
      </c>
      <c r="AQ241" s="42" t="s">
        <v>1648</v>
      </c>
      <c r="AV241" s="46">
        <f>AW241+AX241</f>
        <v>0</v>
      </c>
      <c r="AW241" s="46">
        <f>I241*AO241</f>
        <v>0</v>
      </c>
      <c r="AX241" s="46">
        <f>I241*AP241</f>
        <v>0</v>
      </c>
      <c r="AY241" s="42" t="s">
        <v>132</v>
      </c>
      <c r="AZ241" s="42" t="s">
        <v>595</v>
      </c>
      <c r="BA241" s="1" t="s">
        <v>1154</v>
      </c>
      <c r="BC241" s="46">
        <f>AW241+AX241</f>
        <v>0</v>
      </c>
      <c r="BD241" s="46">
        <f>J241/(100-BE241)*100</f>
        <v>0</v>
      </c>
      <c r="BE241" s="46">
        <v>0</v>
      </c>
      <c r="BF241" s="46">
        <f>241</f>
        <v>241</v>
      </c>
      <c r="BH241" s="46">
        <f>I241*AO241</f>
        <v>0</v>
      </c>
      <c r="BI241" s="46">
        <f>I241*AP241</f>
        <v>0</v>
      </c>
      <c r="BJ241" s="46">
        <f>I241*J241</f>
        <v>0</v>
      </c>
      <c r="BK241" s="46"/>
      <c r="BL241" s="46">
        <v>89</v>
      </c>
    </row>
    <row r="242" spans="1:64" ht="15" customHeight="1">
      <c r="A242" s="52" t="s">
        <v>1511</v>
      </c>
      <c r="B242" s="43" t="s">
        <v>141</v>
      </c>
      <c r="C242" s="43" t="s">
        <v>240</v>
      </c>
      <c r="D242" s="61" t="s">
        <v>615</v>
      </c>
      <c r="E242" s="61"/>
      <c r="F242" s="61"/>
      <c r="G242" s="61"/>
      <c r="H242" s="43" t="s">
        <v>1365</v>
      </c>
      <c r="I242" s="46">
        <v>1013.1</v>
      </c>
      <c r="J242" s="46">
        <v>0</v>
      </c>
      <c r="K242" s="46">
        <f>I242*AO242</f>
        <v>0</v>
      </c>
      <c r="L242" s="46">
        <f>I242*AP242</f>
        <v>0</v>
      </c>
      <c r="M242" s="46">
        <f>I242*J242</f>
        <v>0</v>
      </c>
      <c r="N242" s="46">
        <v>0</v>
      </c>
      <c r="O242" s="6" t="s">
        <v>1149</v>
      </c>
      <c r="Z242" s="46">
        <f>IF(AQ242="5",BJ242,0)</f>
        <v>0</v>
      </c>
      <c r="AB242" s="46">
        <f>IF(AQ242="1",BH242,0)</f>
        <v>0</v>
      </c>
      <c r="AC242" s="46">
        <f>IF(AQ242="1",BI242,0)</f>
        <v>0</v>
      </c>
      <c r="AD242" s="46">
        <f>IF(AQ242="7",BH242,0)</f>
        <v>0</v>
      </c>
      <c r="AE242" s="46">
        <f>IF(AQ242="7",BI242,0)</f>
        <v>0</v>
      </c>
      <c r="AF242" s="46">
        <f>IF(AQ242="2",BH242,0)</f>
        <v>0</v>
      </c>
      <c r="AG242" s="46">
        <f>IF(AQ242="2",BI242,0)</f>
        <v>0</v>
      </c>
      <c r="AH242" s="46">
        <f>IF(AQ242="0",BJ242,0)</f>
        <v>0</v>
      </c>
      <c r="AI242" s="1" t="s">
        <v>141</v>
      </c>
      <c r="AJ242" s="46">
        <f>IF(AN242=0,M242,0)</f>
        <v>0</v>
      </c>
      <c r="AK242" s="46">
        <f>IF(AN242=15,M242,0)</f>
        <v>0</v>
      </c>
      <c r="AL242" s="46">
        <f>IF(AN242=21,M242,0)</f>
        <v>0</v>
      </c>
      <c r="AN242" s="46">
        <v>21</v>
      </c>
      <c r="AO242" s="46">
        <f>J242*0.322424242424242</f>
        <v>0</v>
      </c>
      <c r="AP242" s="46">
        <f>J242*(1-0.322424242424242)</f>
        <v>0</v>
      </c>
      <c r="AQ242" s="42" t="s">
        <v>1648</v>
      </c>
      <c r="AV242" s="46">
        <f>AW242+AX242</f>
        <v>0</v>
      </c>
      <c r="AW242" s="46">
        <f>I242*AO242</f>
        <v>0</v>
      </c>
      <c r="AX242" s="46">
        <f>I242*AP242</f>
        <v>0</v>
      </c>
      <c r="AY242" s="42" t="s">
        <v>132</v>
      </c>
      <c r="AZ242" s="42" t="s">
        <v>595</v>
      </c>
      <c r="BA242" s="1" t="s">
        <v>1154</v>
      </c>
      <c r="BC242" s="46">
        <f>AW242+AX242</f>
        <v>0</v>
      </c>
      <c r="BD242" s="46">
        <f>J242/(100-BE242)*100</f>
        <v>0</v>
      </c>
      <c r="BE242" s="46">
        <v>0</v>
      </c>
      <c r="BF242" s="46">
        <f>242</f>
        <v>242</v>
      </c>
      <c r="BH242" s="46">
        <f>I242*AO242</f>
        <v>0</v>
      </c>
      <c r="BI242" s="46">
        <f>I242*AP242</f>
        <v>0</v>
      </c>
      <c r="BJ242" s="46">
        <f>I242*J242</f>
        <v>0</v>
      </c>
      <c r="BK242" s="46"/>
      <c r="BL242" s="46">
        <v>89</v>
      </c>
    </row>
    <row r="243" spans="1:15" ht="15" customHeight="1">
      <c r="A243" s="10"/>
      <c r="D243" s="32" t="s">
        <v>1791</v>
      </c>
      <c r="G243" s="32" t="s">
        <v>61</v>
      </c>
      <c r="I243" s="58">
        <v>1013.1000000000001</v>
      </c>
      <c r="O243" s="30"/>
    </row>
    <row r="244" spans="1:64" ht="15" customHeight="1">
      <c r="A244" s="52" t="s">
        <v>194</v>
      </c>
      <c r="B244" s="43" t="s">
        <v>141</v>
      </c>
      <c r="C244" s="43" t="s">
        <v>500</v>
      </c>
      <c r="D244" s="61" t="s">
        <v>409</v>
      </c>
      <c r="E244" s="61"/>
      <c r="F244" s="61"/>
      <c r="G244" s="61"/>
      <c r="H244" s="43" t="s">
        <v>1365</v>
      </c>
      <c r="I244" s="46">
        <v>460.5</v>
      </c>
      <c r="J244" s="46">
        <v>0</v>
      </c>
      <c r="K244" s="46">
        <f>I244*AO244</f>
        <v>0</v>
      </c>
      <c r="L244" s="46">
        <f>I244*AP244</f>
        <v>0</v>
      </c>
      <c r="M244" s="46">
        <f>I244*J244</f>
        <v>0</v>
      </c>
      <c r="N244" s="46">
        <v>0</v>
      </c>
      <c r="O244" s="6" t="s">
        <v>1149</v>
      </c>
      <c r="Z244" s="46">
        <f>IF(AQ244="5",BJ244,0)</f>
        <v>0</v>
      </c>
      <c r="AB244" s="46">
        <f>IF(AQ244="1",BH244,0)</f>
        <v>0</v>
      </c>
      <c r="AC244" s="46">
        <f>IF(AQ244="1",BI244,0)</f>
        <v>0</v>
      </c>
      <c r="AD244" s="46">
        <f>IF(AQ244="7",BH244,0)</f>
        <v>0</v>
      </c>
      <c r="AE244" s="46">
        <f>IF(AQ244="7",BI244,0)</f>
        <v>0</v>
      </c>
      <c r="AF244" s="46">
        <f>IF(AQ244="2",BH244,0)</f>
        <v>0</v>
      </c>
      <c r="AG244" s="46">
        <f>IF(AQ244="2",BI244,0)</f>
        <v>0</v>
      </c>
      <c r="AH244" s="46">
        <f>IF(AQ244="0",BJ244,0)</f>
        <v>0</v>
      </c>
      <c r="AI244" s="1" t="s">
        <v>141</v>
      </c>
      <c r="AJ244" s="46">
        <f>IF(AN244=0,M244,0)</f>
        <v>0</v>
      </c>
      <c r="AK244" s="46">
        <f>IF(AN244=15,M244,0)</f>
        <v>0</v>
      </c>
      <c r="AL244" s="46">
        <f>IF(AN244=21,M244,0)</f>
        <v>0</v>
      </c>
      <c r="AN244" s="46">
        <v>21</v>
      </c>
      <c r="AO244" s="46">
        <f>J244*0</f>
        <v>0</v>
      </c>
      <c r="AP244" s="46">
        <f>J244*(1-0)</f>
        <v>0</v>
      </c>
      <c r="AQ244" s="42" t="s">
        <v>1648</v>
      </c>
      <c r="AV244" s="46">
        <f>AW244+AX244</f>
        <v>0</v>
      </c>
      <c r="AW244" s="46">
        <f>I244*AO244</f>
        <v>0</v>
      </c>
      <c r="AX244" s="46">
        <f>I244*AP244</f>
        <v>0</v>
      </c>
      <c r="AY244" s="42" t="s">
        <v>132</v>
      </c>
      <c r="AZ244" s="42" t="s">
        <v>595</v>
      </c>
      <c r="BA244" s="1" t="s">
        <v>1154</v>
      </c>
      <c r="BC244" s="46">
        <f>AW244+AX244</f>
        <v>0</v>
      </c>
      <c r="BD244" s="46">
        <f>J244/(100-BE244)*100</f>
        <v>0</v>
      </c>
      <c r="BE244" s="46">
        <v>0</v>
      </c>
      <c r="BF244" s="46">
        <f>244</f>
        <v>244</v>
      </c>
      <c r="BH244" s="46">
        <f>I244*AO244</f>
        <v>0</v>
      </c>
      <c r="BI244" s="46">
        <f>I244*AP244</f>
        <v>0</v>
      </c>
      <c r="BJ244" s="46">
        <f>I244*J244</f>
        <v>0</v>
      </c>
      <c r="BK244" s="46"/>
      <c r="BL244" s="46">
        <v>89</v>
      </c>
    </row>
    <row r="245" spans="1:15" ht="15" customHeight="1">
      <c r="A245" s="10"/>
      <c r="D245" s="32" t="s">
        <v>527</v>
      </c>
      <c r="G245" s="32" t="s">
        <v>502</v>
      </c>
      <c r="I245" s="58">
        <v>460.50000000000006</v>
      </c>
      <c r="O245" s="30"/>
    </row>
    <row r="246" spans="1:64" ht="15" customHeight="1">
      <c r="A246" s="52" t="s">
        <v>644</v>
      </c>
      <c r="B246" s="43" t="s">
        <v>141</v>
      </c>
      <c r="C246" s="43" t="s">
        <v>511</v>
      </c>
      <c r="D246" s="61" t="s">
        <v>1406</v>
      </c>
      <c r="E246" s="61"/>
      <c r="F246" s="61"/>
      <c r="G246" s="61"/>
      <c r="H246" s="43" t="s">
        <v>392</v>
      </c>
      <c r="I246" s="46">
        <v>16</v>
      </c>
      <c r="J246" s="46">
        <v>0</v>
      </c>
      <c r="K246" s="46">
        <f>I246*AO246</f>
        <v>0</v>
      </c>
      <c r="L246" s="46">
        <f>I246*AP246</f>
        <v>0</v>
      </c>
      <c r="M246" s="46">
        <f>I246*J246</f>
        <v>0</v>
      </c>
      <c r="N246" s="46">
        <v>0</v>
      </c>
      <c r="O246" s="6" t="s">
        <v>1149</v>
      </c>
      <c r="Z246" s="46">
        <f>IF(AQ246="5",BJ246,0)</f>
        <v>0</v>
      </c>
      <c r="AB246" s="46">
        <f>IF(AQ246="1",BH246,0)</f>
        <v>0</v>
      </c>
      <c r="AC246" s="46">
        <f>IF(AQ246="1",BI246,0)</f>
        <v>0</v>
      </c>
      <c r="AD246" s="46">
        <f>IF(AQ246="7",BH246,0)</f>
        <v>0</v>
      </c>
      <c r="AE246" s="46">
        <f>IF(AQ246="7",BI246,0)</f>
        <v>0</v>
      </c>
      <c r="AF246" s="46">
        <f>IF(AQ246="2",BH246,0)</f>
        <v>0</v>
      </c>
      <c r="AG246" s="46">
        <f>IF(AQ246="2",BI246,0)</f>
        <v>0</v>
      </c>
      <c r="AH246" s="46">
        <f>IF(AQ246="0",BJ246,0)</f>
        <v>0</v>
      </c>
      <c r="AI246" s="1" t="s">
        <v>141</v>
      </c>
      <c r="AJ246" s="46">
        <f>IF(AN246=0,M246,0)</f>
        <v>0</v>
      </c>
      <c r="AK246" s="46">
        <f>IF(AN246=15,M246,0)</f>
        <v>0</v>
      </c>
      <c r="AL246" s="46">
        <f>IF(AN246=21,M246,0)</f>
        <v>0</v>
      </c>
      <c r="AN246" s="46">
        <v>21</v>
      </c>
      <c r="AO246" s="46">
        <f>J246*0</f>
        <v>0</v>
      </c>
      <c r="AP246" s="46">
        <f>J246*(1-0)</f>
        <v>0</v>
      </c>
      <c r="AQ246" s="42" t="s">
        <v>1648</v>
      </c>
      <c r="AV246" s="46">
        <f>AW246+AX246</f>
        <v>0</v>
      </c>
      <c r="AW246" s="46">
        <f>I246*AO246</f>
        <v>0</v>
      </c>
      <c r="AX246" s="46">
        <f>I246*AP246</f>
        <v>0</v>
      </c>
      <c r="AY246" s="42" t="s">
        <v>132</v>
      </c>
      <c r="AZ246" s="42" t="s">
        <v>595</v>
      </c>
      <c r="BA246" s="1" t="s">
        <v>1154</v>
      </c>
      <c r="BC246" s="46">
        <f>AW246+AX246</f>
        <v>0</v>
      </c>
      <c r="BD246" s="46">
        <f>J246/(100-BE246)*100</f>
        <v>0</v>
      </c>
      <c r="BE246" s="46">
        <v>0</v>
      </c>
      <c r="BF246" s="46">
        <f>246</f>
        <v>246</v>
      </c>
      <c r="BH246" s="46">
        <f>I246*AO246</f>
        <v>0</v>
      </c>
      <c r="BI246" s="46">
        <f>I246*AP246</f>
        <v>0</v>
      </c>
      <c r="BJ246" s="46">
        <f>I246*J246</f>
        <v>0</v>
      </c>
      <c r="BK246" s="46"/>
      <c r="BL246" s="46">
        <v>89</v>
      </c>
    </row>
    <row r="247" spans="1:15" ht="15" customHeight="1">
      <c r="A247" s="10"/>
      <c r="D247" s="32" t="s">
        <v>153</v>
      </c>
      <c r="G247" s="32" t="s">
        <v>738</v>
      </c>
      <c r="I247" s="58">
        <v>16</v>
      </c>
      <c r="O247" s="30"/>
    </row>
    <row r="248" spans="1:64" ht="15" customHeight="1">
      <c r="A248" s="52" t="s">
        <v>925</v>
      </c>
      <c r="B248" s="43" t="s">
        <v>141</v>
      </c>
      <c r="C248" s="43" t="s">
        <v>1188</v>
      </c>
      <c r="D248" s="61" t="s">
        <v>1669</v>
      </c>
      <c r="E248" s="61"/>
      <c r="F248" s="61"/>
      <c r="G248" s="61"/>
      <c r="H248" s="43" t="s">
        <v>392</v>
      </c>
      <c r="I248" s="46">
        <v>15</v>
      </c>
      <c r="J248" s="46">
        <v>0</v>
      </c>
      <c r="K248" s="46">
        <f>I248*AO248</f>
        <v>0</v>
      </c>
      <c r="L248" s="46">
        <f>I248*AP248</f>
        <v>0</v>
      </c>
      <c r="M248" s="46">
        <f>I248*J248</f>
        <v>0</v>
      </c>
      <c r="N248" s="46">
        <v>1.6</v>
      </c>
      <c r="O248" s="6" t="s">
        <v>1149</v>
      </c>
      <c r="Z248" s="46">
        <f>IF(AQ248="5",BJ248,0)</f>
        <v>0</v>
      </c>
      <c r="AB248" s="46">
        <f>IF(AQ248="1",BH248,0)</f>
        <v>0</v>
      </c>
      <c r="AC248" s="46">
        <f>IF(AQ248="1",BI248,0)</f>
        <v>0</v>
      </c>
      <c r="AD248" s="46">
        <f>IF(AQ248="7",BH248,0)</f>
        <v>0</v>
      </c>
      <c r="AE248" s="46">
        <f>IF(AQ248="7",BI248,0)</f>
        <v>0</v>
      </c>
      <c r="AF248" s="46">
        <f>IF(AQ248="2",BH248,0)</f>
        <v>0</v>
      </c>
      <c r="AG248" s="46">
        <f>IF(AQ248="2",BI248,0)</f>
        <v>0</v>
      </c>
      <c r="AH248" s="46">
        <f>IF(AQ248="0",BJ248,0)</f>
        <v>0</v>
      </c>
      <c r="AI248" s="1" t="s">
        <v>141</v>
      </c>
      <c r="AJ248" s="46">
        <f>IF(AN248=0,M248,0)</f>
        <v>0</v>
      </c>
      <c r="AK248" s="46">
        <f>IF(AN248=15,M248,0)</f>
        <v>0</v>
      </c>
      <c r="AL248" s="46">
        <f>IF(AN248=21,M248,0)</f>
        <v>0</v>
      </c>
      <c r="AN248" s="46">
        <v>21</v>
      </c>
      <c r="AO248" s="46">
        <f>J248*1</f>
        <v>0</v>
      </c>
      <c r="AP248" s="46">
        <f>J248*(1-1)</f>
        <v>0</v>
      </c>
      <c r="AQ248" s="42" t="s">
        <v>1648</v>
      </c>
      <c r="AV248" s="46">
        <f>AW248+AX248</f>
        <v>0</v>
      </c>
      <c r="AW248" s="46">
        <f>I248*AO248</f>
        <v>0</v>
      </c>
      <c r="AX248" s="46">
        <f>I248*AP248</f>
        <v>0</v>
      </c>
      <c r="AY248" s="42" t="s">
        <v>132</v>
      </c>
      <c r="AZ248" s="42" t="s">
        <v>595</v>
      </c>
      <c r="BA248" s="1" t="s">
        <v>1154</v>
      </c>
      <c r="BC248" s="46">
        <f>AW248+AX248</f>
        <v>0</v>
      </c>
      <c r="BD248" s="46">
        <f>J248/(100-BE248)*100</f>
        <v>0</v>
      </c>
      <c r="BE248" s="46">
        <v>0</v>
      </c>
      <c r="BF248" s="46">
        <f>248</f>
        <v>248</v>
      </c>
      <c r="BH248" s="46">
        <f>I248*AO248</f>
        <v>0</v>
      </c>
      <c r="BI248" s="46">
        <f>I248*AP248</f>
        <v>0</v>
      </c>
      <c r="BJ248" s="46">
        <f>I248*J248</f>
        <v>0</v>
      </c>
      <c r="BK248" s="46"/>
      <c r="BL248" s="46">
        <v>89</v>
      </c>
    </row>
    <row r="249" spans="1:15" ht="15" customHeight="1">
      <c r="A249" s="10"/>
      <c r="D249" s="32" t="s">
        <v>639</v>
      </c>
      <c r="G249" s="32" t="s">
        <v>130</v>
      </c>
      <c r="I249" s="58">
        <v>15.000000000000002</v>
      </c>
      <c r="O249" s="30"/>
    </row>
    <row r="250" spans="1:15" ht="15" customHeight="1">
      <c r="A250" s="10"/>
      <c r="D250" s="32" t="s">
        <v>1163</v>
      </c>
      <c r="G250" s="32" t="s">
        <v>1658</v>
      </c>
      <c r="I250" s="58">
        <v>0</v>
      </c>
      <c r="O250" s="30"/>
    </row>
    <row r="251" spans="1:15" ht="15" customHeight="1">
      <c r="A251" s="10"/>
      <c r="D251" s="32" t="s">
        <v>1163</v>
      </c>
      <c r="G251" s="32" t="s">
        <v>271</v>
      </c>
      <c r="I251" s="58">
        <v>0</v>
      </c>
      <c r="O251" s="30"/>
    </row>
    <row r="252" spans="1:64" ht="15" customHeight="1">
      <c r="A252" s="52" t="s">
        <v>192</v>
      </c>
      <c r="B252" s="43" t="s">
        <v>141</v>
      </c>
      <c r="C252" s="43" t="s">
        <v>1407</v>
      </c>
      <c r="D252" s="61" t="s">
        <v>675</v>
      </c>
      <c r="E252" s="61"/>
      <c r="F252" s="61"/>
      <c r="G252" s="61"/>
      <c r="H252" s="43" t="s">
        <v>392</v>
      </c>
      <c r="I252" s="46">
        <v>42</v>
      </c>
      <c r="J252" s="46">
        <v>0</v>
      </c>
      <c r="K252" s="46">
        <f>I252*AO252</f>
        <v>0</v>
      </c>
      <c r="L252" s="46">
        <f>I252*AP252</f>
        <v>0</v>
      </c>
      <c r="M252" s="46">
        <f>I252*J252</f>
        <v>0</v>
      </c>
      <c r="N252" s="46">
        <v>0</v>
      </c>
      <c r="O252" s="6" t="s">
        <v>1149</v>
      </c>
      <c r="Z252" s="46">
        <f>IF(AQ252="5",BJ252,0)</f>
        <v>0</v>
      </c>
      <c r="AB252" s="46">
        <f>IF(AQ252="1",BH252,0)</f>
        <v>0</v>
      </c>
      <c r="AC252" s="46">
        <f>IF(AQ252="1",BI252,0)</f>
        <v>0</v>
      </c>
      <c r="AD252" s="46">
        <f>IF(AQ252="7",BH252,0)</f>
        <v>0</v>
      </c>
      <c r="AE252" s="46">
        <f>IF(AQ252="7",BI252,0)</f>
        <v>0</v>
      </c>
      <c r="AF252" s="46">
        <f>IF(AQ252="2",BH252,0)</f>
        <v>0</v>
      </c>
      <c r="AG252" s="46">
        <f>IF(AQ252="2",BI252,0)</f>
        <v>0</v>
      </c>
      <c r="AH252" s="46">
        <f>IF(AQ252="0",BJ252,0)</f>
        <v>0</v>
      </c>
      <c r="AI252" s="1" t="s">
        <v>141</v>
      </c>
      <c r="AJ252" s="46">
        <f>IF(AN252=0,M252,0)</f>
        <v>0</v>
      </c>
      <c r="AK252" s="46">
        <f>IF(AN252=15,M252,0)</f>
        <v>0</v>
      </c>
      <c r="AL252" s="46">
        <f>IF(AN252=21,M252,0)</f>
        <v>0</v>
      </c>
      <c r="AN252" s="46">
        <v>21</v>
      </c>
      <c r="AO252" s="46">
        <f>J252*0</f>
        <v>0</v>
      </c>
      <c r="AP252" s="46">
        <f>J252*(1-0)</f>
        <v>0</v>
      </c>
      <c r="AQ252" s="42" t="s">
        <v>1648</v>
      </c>
      <c r="AV252" s="46">
        <f>AW252+AX252</f>
        <v>0</v>
      </c>
      <c r="AW252" s="46">
        <f>I252*AO252</f>
        <v>0</v>
      </c>
      <c r="AX252" s="46">
        <f>I252*AP252</f>
        <v>0</v>
      </c>
      <c r="AY252" s="42" t="s">
        <v>132</v>
      </c>
      <c r="AZ252" s="42" t="s">
        <v>595</v>
      </c>
      <c r="BA252" s="1" t="s">
        <v>1154</v>
      </c>
      <c r="BC252" s="46">
        <f>AW252+AX252</f>
        <v>0</v>
      </c>
      <c r="BD252" s="46">
        <f>J252/(100-BE252)*100</f>
        <v>0</v>
      </c>
      <c r="BE252" s="46">
        <v>0</v>
      </c>
      <c r="BF252" s="46">
        <f>252</f>
        <v>252</v>
      </c>
      <c r="BH252" s="46">
        <f>I252*AO252</f>
        <v>0</v>
      </c>
      <c r="BI252" s="46">
        <f>I252*AP252</f>
        <v>0</v>
      </c>
      <c r="BJ252" s="46">
        <f>I252*J252</f>
        <v>0</v>
      </c>
      <c r="BK252" s="46"/>
      <c r="BL252" s="46">
        <v>89</v>
      </c>
    </row>
    <row r="253" spans="1:15" ht="15" customHeight="1">
      <c r="A253" s="10"/>
      <c r="D253" s="32" t="s">
        <v>100</v>
      </c>
      <c r="G253" s="32" t="s">
        <v>1163</v>
      </c>
      <c r="I253" s="58">
        <v>42</v>
      </c>
      <c r="O253" s="30"/>
    </row>
    <row r="254" spans="1:64" ht="15" customHeight="1">
      <c r="A254" s="52" t="s">
        <v>1178</v>
      </c>
      <c r="B254" s="43" t="s">
        <v>141</v>
      </c>
      <c r="C254" s="43" t="s">
        <v>899</v>
      </c>
      <c r="D254" s="61" t="s">
        <v>1431</v>
      </c>
      <c r="E254" s="61"/>
      <c r="F254" s="61"/>
      <c r="G254" s="61"/>
      <c r="H254" s="43" t="s">
        <v>392</v>
      </c>
      <c r="I254" s="46">
        <v>4</v>
      </c>
      <c r="J254" s="46">
        <v>0</v>
      </c>
      <c r="K254" s="46">
        <f aca="true" t="shared" si="0" ref="K254:K259">I254*AO254</f>
        <v>0</v>
      </c>
      <c r="L254" s="46">
        <f aca="true" t="shared" si="1" ref="L254:L259">I254*AP254</f>
        <v>0</v>
      </c>
      <c r="M254" s="46">
        <f aca="true" t="shared" si="2" ref="M254:M259">I254*J254</f>
        <v>0</v>
      </c>
      <c r="N254" s="46">
        <v>0.028</v>
      </c>
      <c r="O254" s="6" t="s">
        <v>1149</v>
      </c>
      <c r="Z254" s="46">
        <f aca="true" t="shared" si="3" ref="Z254:Z259">IF(AQ254="5",BJ254,0)</f>
        <v>0</v>
      </c>
      <c r="AB254" s="46">
        <f aca="true" t="shared" si="4" ref="AB254:AB259">IF(AQ254="1",BH254,0)</f>
        <v>0</v>
      </c>
      <c r="AC254" s="46">
        <f aca="true" t="shared" si="5" ref="AC254:AC259">IF(AQ254="1",BI254,0)</f>
        <v>0</v>
      </c>
      <c r="AD254" s="46">
        <f aca="true" t="shared" si="6" ref="AD254:AD259">IF(AQ254="7",BH254,0)</f>
        <v>0</v>
      </c>
      <c r="AE254" s="46">
        <f aca="true" t="shared" si="7" ref="AE254:AE259">IF(AQ254="7",BI254,0)</f>
        <v>0</v>
      </c>
      <c r="AF254" s="46">
        <f aca="true" t="shared" si="8" ref="AF254:AF259">IF(AQ254="2",BH254,0)</f>
        <v>0</v>
      </c>
      <c r="AG254" s="46">
        <f aca="true" t="shared" si="9" ref="AG254:AG259">IF(AQ254="2",BI254,0)</f>
        <v>0</v>
      </c>
      <c r="AH254" s="46">
        <f aca="true" t="shared" si="10" ref="AH254:AH259">IF(AQ254="0",BJ254,0)</f>
        <v>0</v>
      </c>
      <c r="AI254" s="1" t="s">
        <v>141</v>
      </c>
      <c r="AJ254" s="46">
        <f aca="true" t="shared" si="11" ref="AJ254:AJ259">IF(AN254=0,M254,0)</f>
        <v>0</v>
      </c>
      <c r="AK254" s="46">
        <f aca="true" t="shared" si="12" ref="AK254:AK259">IF(AN254=15,M254,0)</f>
        <v>0</v>
      </c>
      <c r="AL254" s="46">
        <f aca="true" t="shared" si="13" ref="AL254:AL259">IF(AN254=21,M254,0)</f>
        <v>0</v>
      </c>
      <c r="AN254" s="46">
        <v>21</v>
      </c>
      <c r="AO254" s="46">
        <f aca="true" t="shared" si="14" ref="AO254:AO259">J254*1</f>
        <v>0</v>
      </c>
      <c r="AP254" s="46">
        <f aca="true" t="shared" si="15" ref="AP254:AP259">J254*(1-1)</f>
        <v>0</v>
      </c>
      <c r="AQ254" s="42" t="s">
        <v>1648</v>
      </c>
      <c r="AV254" s="46">
        <f aca="true" t="shared" si="16" ref="AV254:AV259">AW254+AX254</f>
        <v>0</v>
      </c>
      <c r="AW254" s="46">
        <f aca="true" t="shared" si="17" ref="AW254:AW259">I254*AO254</f>
        <v>0</v>
      </c>
      <c r="AX254" s="46">
        <f aca="true" t="shared" si="18" ref="AX254:AX259">I254*AP254</f>
        <v>0</v>
      </c>
      <c r="AY254" s="42" t="s">
        <v>132</v>
      </c>
      <c r="AZ254" s="42" t="s">
        <v>595</v>
      </c>
      <c r="BA254" s="1" t="s">
        <v>1154</v>
      </c>
      <c r="BC254" s="46">
        <f aca="true" t="shared" si="19" ref="BC254:BC259">AW254+AX254</f>
        <v>0</v>
      </c>
      <c r="BD254" s="46">
        <f aca="true" t="shared" si="20" ref="BD254:BD259">J254/(100-BE254)*100</f>
        <v>0</v>
      </c>
      <c r="BE254" s="46">
        <v>0</v>
      </c>
      <c r="BF254" s="46">
        <f>254</f>
        <v>254</v>
      </c>
      <c r="BH254" s="46">
        <f aca="true" t="shared" si="21" ref="BH254:BH259">I254*AO254</f>
        <v>0</v>
      </c>
      <c r="BI254" s="46">
        <f aca="true" t="shared" si="22" ref="BI254:BI259">I254*AP254</f>
        <v>0</v>
      </c>
      <c r="BJ254" s="46">
        <f aca="true" t="shared" si="23" ref="BJ254:BJ259">I254*J254</f>
        <v>0</v>
      </c>
      <c r="BK254" s="46"/>
      <c r="BL254" s="46">
        <v>89</v>
      </c>
    </row>
    <row r="255" spans="1:64" ht="15" customHeight="1">
      <c r="A255" s="52" t="s">
        <v>765</v>
      </c>
      <c r="B255" s="43" t="s">
        <v>141</v>
      </c>
      <c r="C255" s="43" t="s">
        <v>1219</v>
      </c>
      <c r="D255" s="61" t="s">
        <v>1556</v>
      </c>
      <c r="E255" s="61"/>
      <c r="F255" s="61"/>
      <c r="G255" s="61"/>
      <c r="H255" s="43" t="s">
        <v>392</v>
      </c>
      <c r="I255" s="46">
        <v>20</v>
      </c>
      <c r="J255" s="46">
        <v>0</v>
      </c>
      <c r="K255" s="46">
        <f t="shared" si="0"/>
        <v>0</v>
      </c>
      <c r="L255" s="46">
        <f t="shared" si="1"/>
        <v>0</v>
      </c>
      <c r="M255" s="46">
        <f t="shared" si="2"/>
        <v>0</v>
      </c>
      <c r="N255" s="46">
        <v>0.04</v>
      </c>
      <c r="O255" s="6" t="s">
        <v>1149</v>
      </c>
      <c r="Z255" s="46">
        <f t="shared" si="3"/>
        <v>0</v>
      </c>
      <c r="AB255" s="46">
        <f t="shared" si="4"/>
        <v>0</v>
      </c>
      <c r="AC255" s="46">
        <f t="shared" si="5"/>
        <v>0</v>
      </c>
      <c r="AD255" s="46">
        <f t="shared" si="6"/>
        <v>0</v>
      </c>
      <c r="AE255" s="46">
        <f t="shared" si="7"/>
        <v>0</v>
      </c>
      <c r="AF255" s="46">
        <f t="shared" si="8"/>
        <v>0</v>
      </c>
      <c r="AG255" s="46">
        <f t="shared" si="9"/>
        <v>0</v>
      </c>
      <c r="AH255" s="46">
        <f t="shared" si="10"/>
        <v>0</v>
      </c>
      <c r="AI255" s="1" t="s">
        <v>141</v>
      </c>
      <c r="AJ255" s="46">
        <f t="shared" si="11"/>
        <v>0</v>
      </c>
      <c r="AK255" s="46">
        <f t="shared" si="12"/>
        <v>0</v>
      </c>
      <c r="AL255" s="46">
        <f t="shared" si="13"/>
        <v>0</v>
      </c>
      <c r="AN255" s="46">
        <v>21</v>
      </c>
      <c r="AO255" s="46">
        <f t="shared" si="14"/>
        <v>0</v>
      </c>
      <c r="AP255" s="46">
        <f t="shared" si="15"/>
        <v>0</v>
      </c>
      <c r="AQ255" s="42" t="s">
        <v>1648</v>
      </c>
      <c r="AV255" s="46">
        <f t="shared" si="16"/>
        <v>0</v>
      </c>
      <c r="AW255" s="46">
        <f t="shared" si="17"/>
        <v>0</v>
      </c>
      <c r="AX255" s="46">
        <f t="shared" si="18"/>
        <v>0</v>
      </c>
      <c r="AY255" s="42" t="s">
        <v>132</v>
      </c>
      <c r="AZ255" s="42" t="s">
        <v>595</v>
      </c>
      <c r="BA255" s="1" t="s">
        <v>1154</v>
      </c>
      <c r="BC255" s="46">
        <f t="shared" si="19"/>
        <v>0</v>
      </c>
      <c r="BD255" s="46">
        <f t="shared" si="20"/>
        <v>0</v>
      </c>
      <c r="BE255" s="46">
        <v>0</v>
      </c>
      <c r="BF255" s="46">
        <f>255</f>
        <v>255</v>
      </c>
      <c r="BH255" s="46">
        <f t="shared" si="21"/>
        <v>0</v>
      </c>
      <c r="BI255" s="46">
        <f t="shared" si="22"/>
        <v>0</v>
      </c>
      <c r="BJ255" s="46">
        <f t="shared" si="23"/>
        <v>0</v>
      </c>
      <c r="BK255" s="46"/>
      <c r="BL255" s="46">
        <v>89</v>
      </c>
    </row>
    <row r="256" spans="1:64" ht="15" customHeight="1">
      <c r="A256" s="52" t="s">
        <v>1353</v>
      </c>
      <c r="B256" s="43" t="s">
        <v>141</v>
      </c>
      <c r="C256" s="43" t="s">
        <v>1646</v>
      </c>
      <c r="D256" s="61" t="s">
        <v>334</v>
      </c>
      <c r="E256" s="61"/>
      <c r="F256" s="61"/>
      <c r="G256" s="61"/>
      <c r="H256" s="43" t="s">
        <v>392</v>
      </c>
      <c r="I256" s="46">
        <v>1</v>
      </c>
      <c r="J256" s="46">
        <v>0</v>
      </c>
      <c r="K256" s="46">
        <f t="shared" si="0"/>
        <v>0</v>
      </c>
      <c r="L256" s="46">
        <f t="shared" si="1"/>
        <v>0</v>
      </c>
      <c r="M256" s="46">
        <f t="shared" si="2"/>
        <v>0</v>
      </c>
      <c r="N256" s="46">
        <v>0.068</v>
      </c>
      <c r="O256" s="6" t="s">
        <v>1149</v>
      </c>
      <c r="Z256" s="46">
        <f t="shared" si="3"/>
        <v>0</v>
      </c>
      <c r="AB256" s="46">
        <f t="shared" si="4"/>
        <v>0</v>
      </c>
      <c r="AC256" s="46">
        <f t="shared" si="5"/>
        <v>0</v>
      </c>
      <c r="AD256" s="46">
        <f t="shared" si="6"/>
        <v>0</v>
      </c>
      <c r="AE256" s="46">
        <f t="shared" si="7"/>
        <v>0</v>
      </c>
      <c r="AF256" s="46">
        <f t="shared" si="8"/>
        <v>0</v>
      </c>
      <c r="AG256" s="46">
        <f t="shared" si="9"/>
        <v>0</v>
      </c>
      <c r="AH256" s="46">
        <f t="shared" si="10"/>
        <v>0</v>
      </c>
      <c r="AI256" s="1" t="s">
        <v>141</v>
      </c>
      <c r="AJ256" s="46">
        <f t="shared" si="11"/>
        <v>0</v>
      </c>
      <c r="AK256" s="46">
        <f t="shared" si="12"/>
        <v>0</v>
      </c>
      <c r="AL256" s="46">
        <f t="shared" si="13"/>
        <v>0</v>
      </c>
      <c r="AN256" s="46">
        <v>21</v>
      </c>
      <c r="AO256" s="46">
        <f t="shared" si="14"/>
        <v>0</v>
      </c>
      <c r="AP256" s="46">
        <f t="shared" si="15"/>
        <v>0</v>
      </c>
      <c r="AQ256" s="42" t="s">
        <v>1648</v>
      </c>
      <c r="AV256" s="46">
        <f t="shared" si="16"/>
        <v>0</v>
      </c>
      <c r="AW256" s="46">
        <f t="shared" si="17"/>
        <v>0</v>
      </c>
      <c r="AX256" s="46">
        <f t="shared" si="18"/>
        <v>0</v>
      </c>
      <c r="AY256" s="42" t="s">
        <v>132</v>
      </c>
      <c r="AZ256" s="42" t="s">
        <v>595</v>
      </c>
      <c r="BA256" s="1" t="s">
        <v>1154</v>
      </c>
      <c r="BC256" s="46">
        <f t="shared" si="19"/>
        <v>0</v>
      </c>
      <c r="BD256" s="46">
        <f t="shared" si="20"/>
        <v>0</v>
      </c>
      <c r="BE256" s="46">
        <v>0</v>
      </c>
      <c r="BF256" s="46">
        <f>256</f>
        <v>256</v>
      </c>
      <c r="BH256" s="46">
        <f t="shared" si="21"/>
        <v>0</v>
      </c>
      <c r="BI256" s="46">
        <f t="shared" si="22"/>
        <v>0</v>
      </c>
      <c r="BJ256" s="46">
        <f t="shared" si="23"/>
        <v>0</v>
      </c>
      <c r="BK256" s="46"/>
      <c r="BL256" s="46">
        <v>89</v>
      </c>
    </row>
    <row r="257" spans="1:64" ht="15" customHeight="1">
      <c r="A257" s="52" t="s">
        <v>1526</v>
      </c>
      <c r="B257" s="43" t="s">
        <v>141</v>
      </c>
      <c r="C257" s="43" t="s">
        <v>54</v>
      </c>
      <c r="D257" s="61" t="s">
        <v>407</v>
      </c>
      <c r="E257" s="61"/>
      <c r="F257" s="61"/>
      <c r="G257" s="61"/>
      <c r="H257" s="43" t="s">
        <v>392</v>
      </c>
      <c r="I257" s="46">
        <v>2</v>
      </c>
      <c r="J257" s="46">
        <v>0</v>
      </c>
      <c r="K257" s="46">
        <f t="shared" si="0"/>
        <v>0</v>
      </c>
      <c r="L257" s="46">
        <f t="shared" si="1"/>
        <v>0</v>
      </c>
      <c r="M257" s="46">
        <f t="shared" si="2"/>
        <v>0</v>
      </c>
      <c r="N257" s="46">
        <v>0.081</v>
      </c>
      <c r="O257" s="6" t="s">
        <v>1149</v>
      </c>
      <c r="Z257" s="46">
        <f t="shared" si="3"/>
        <v>0</v>
      </c>
      <c r="AB257" s="46">
        <f t="shared" si="4"/>
        <v>0</v>
      </c>
      <c r="AC257" s="46">
        <f t="shared" si="5"/>
        <v>0</v>
      </c>
      <c r="AD257" s="46">
        <f t="shared" si="6"/>
        <v>0</v>
      </c>
      <c r="AE257" s="46">
        <f t="shared" si="7"/>
        <v>0</v>
      </c>
      <c r="AF257" s="46">
        <f t="shared" si="8"/>
        <v>0</v>
      </c>
      <c r="AG257" s="46">
        <f t="shared" si="9"/>
        <v>0</v>
      </c>
      <c r="AH257" s="46">
        <f t="shared" si="10"/>
        <v>0</v>
      </c>
      <c r="AI257" s="1" t="s">
        <v>141</v>
      </c>
      <c r="AJ257" s="46">
        <f t="shared" si="11"/>
        <v>0</v>
      </c>
      <c r="AK257" s="46">
        <f t="shared" si="12"/>
        <v>0</v>
      </c>
      <c r="AL257" s="46">
        <f t="shared" si="13"/>
        <v>0</v>
      </c>
      <c r="AN257" s="46">
        <v>21</v>
      </c>
      <c r="AO257" s="46">
        <f t="shared" si="14"/>
        <v>0</v>
      </c>
      <c r="AP257" s="46">
        <f t="shared" si="15"/>
        <v>0</v>
      </c>
      <c r="AQ257" s="42" t="s">
        <v>1648</v>
      </c>
      <c r="AV257" s="46">
        <f t="shared" si="16"/>
        <v>0</v>
      </c>
      <c r="AW257" s="46">
        <f t="shared" si="17"/>
        <v>0</v>
      </c>
      <c r="AX257" s="46">
        <f t="shared" si="18"/>
        <v>0</v>
      </c>
      <c r="AY257" s="42" t="s">
        <v>132</v>
      </c>
      <c r="AZ257" s="42" t="s">
        <v>595</v>
      </c>
      <c r="BA257" s="1" t="s">
        <v>1154</v>
      </c>
      <c r="BC257" s="46">
        <f t="shared" si="19"/>
        <v>0</v>
      </c>
      <c r="BD257" s="46">
        <f t="shared" si="20"/>
        <v>0</v>
      </c>
      <c r="BE257" s="46">
        <v>0</v>
      </c>
      <c r="BF257" s="46">
        <f>257</f>
        <v>257</v>
      </c>
      <c r="BH257" s="46">
        <f t="shared" si="21"/>
        <v>0</v>
      </c>
      <c r="BI257" s="46">
        <f t="shared" si="22"/>
        <v>0</v>
      </c>
      <c r="BJ257" s="46">
        <f t="shared" si="23"/>
        <v>0</v>
      </c>
      <c r="BK257" s="46"/>
      <c r="BL257" s="46">
        <v>89</v>
      </c>
    </row>
    <row r="258" spans="1:64" ht="15" customHeight="1">
      <c r="A258" s="52" t="s">
        <v>1443</v>
      </c>
      <c r="B258" s="43" t="s">
        <v>141</v>
      </c>
      <c r="C258" s="43" t="s">
        <v>886</v>
      </c>
      <c r="D258" s="61" t="s">
        <v>1086</v>
      </c>
      <c r="E258" s="61"/>
      <c r="F258" s="61"/>
      <c r="G258" s="61"/>
      <c r="H258" s="43" t="s">
        <v>392</v>
      </c>
      <c r="I258" s="46">
        <v>3</v>
      </c>
      <c r="J258" s="46">
        <v>0</v>
      </c>
      <c r="K258" s="46">
        <f t="shared" si="0"/>
        <v>0</v>
      </c>
      <c r="L258" s="46">
        <f t="shared" si="1"/>
        <v>0</v>
      </c>
      <c r="M258" s="46">
        <f t="shared" si="2"/>
        <v>0</v>
      </c>
      <c r="N258" s="46">
        <v>0</v>
      </c>
      <c r="O258" s="6" t="s">
        <v>1149</v>
      </c>
      <c r="Z258" s="46">
        <f t="shared" si="3"/>
        <v>0</v>
      </c>
      <c r="AB258" s="46">
        <f t="shared" si="4"/>
        <v>0</v>
      </c>
      <c r="AC258" s="46">
        <f t="shared" si="5"/>
        <v>0</v>
      </c>
      <c r="AD258" s="46">
        <f t="shared" si="6"/>
        <v>0</v>
      </c>
      <c r="AE258" s="46">
        <f t="shared" si="7"/>
        <v>0</v>
      </c>
      <c r="AF258" s="46">
        <f t="shared" si="8"/>
        <v>0</v>
      </c>
      <c r="AG258" s="46">
        <f t="shared" si="9"/>
        <v>0</v>
      </c>
      <c r="AH258" s="46">
        <f t="shared" si="10"/>
        <v>0</v>
      </c>
      <c r="AI258" s="1" t="s">
        <v>141</v>
      </c>
      <c r="AJ258" s="46">
        <f t="shared" si="11"/>
        <v>0</v>
      </c>
      <c r="AK258" s="46">
        <f t="shared" si="12"/>
        <v>0</v>
      </c>
      <c r="AL258" s="46">
        <f t="shared" si="13"/>
        <v>0</v>
      </c>
      <c r="AN258" s="46">
        <v>21</v>
      </c>
      <c r="AO258" s="46">
        <f t="shared" si="14"/>
        <v>0</v>
      </c>
      <c r="AP258" s="46">
        <f t="shared" si="15"/>
        <v>0</v>
      </c>
      <c r="AQ258" s="42" t="s">
        <v>1648</v>
      </c>
      <c r="AV258" s="46">
        <f t="shared" si="16"/>
        <v>0</v>
      </c>
      <c r="AW258" s="46">
        <f t="shared" si="17"/>
        <v>0</v>
      </c>
      <c r="AX258" s="46">
        <f t="shared" si="18"/>
        <v>0</v>
      </c>
      <c r="AY258" s="42" t="s">
        <v>132</v>
      </c>
      <c r="AZ258" s="42" t="s">
        <v>595</v>
      </c>
      <c r="BA258" s="1" t="s">
        <v>1154</v>
      </c>
      <c r="BC258" s="46">
        <f t="shared" si="19"/>
        <v>0</v>
      </c>
      <c r="BD258" s="46">
        <f t="shared" si="20"/>
        <v>0</v>
      </c>
      <c r="BE258" s="46">
        <v>0</v>
      </c>
      <c r="BF258" s="46">
        <f>258</f>
        <v>258</v>
      </c>
      <c r="BH258" s="46">
        <f t="shared" si="21"/>
        <v>0</v>
      </c>
      <c r="BI258" s="46">
        <f t="shared" si="22"/>
        <v>0</v>
      </c>
      <c r="BJ258" s="46">
        <f t="shared" si="23"/>
        <v>0</v>
      </c>
      <c r="BK258" s="46"/>
      <c r="BL258" s="46">
        <v>89</v>
      </c>
    </row>
    <row r="259" spans="1:64" ht="15" customHeight="1">
      <c r="A259" s="52" t="s">
        <v>46</v>
      </c>
      <c r="B259" s="43" t="s">
        <v>141</v>
      </c>
      <c r="C259" s="43" t="s">
        <v>1506</v>
      </c>
      <c r="D259" s="61" t="s">
        <v>121</v>
      </c>
      <c r="E259" s="61"/>
      <c r="F259" s="61"/>
      <c r="G259" s="61"/>
      <c r="H259" s="43" t="s">
        <v>392</v>
      </c>
      <c r="I259" s="46">
        <v>13</v>
      </c>
      <c r="J259" s="46">
        <v>0</v>
      </c>
      <c r="K259" s="46">
        <f t="shared" si="0"/>
        <v>0</v>
      </c>
      <c r="L259" s="46">
        <f t="shared" si="1"/>
        <v>0</v>
      </c>
      <c r="M259" s="46">
        <f t="shared" si="2"/>
        <v>0</v>
      </c>
      <c r="N259" s="46">
        <v>0.5</v>
      </c>
      <c r="O259" s="6" t="s">
        <v>1149</v>
      </c>
      <c r="Z259" s="46">
        <f t="shared" si="3"/>
        <v>0</v>
      </c>
      <c r="AB259" s="46">
        <f t="shared" si="4"/>
        <v>0</v>
      </c>
      <c r="AC259" s="46">
        <f t="shared" si="5"/>
        <v>0</v>
      </c>
      <c r="AD259" s="46">
        <f t="shared" si="6"/>
        <v>0</v>
      </c>
      <c r="AE259" s="46">
        <f t="shared" si="7"/>
        <v>0</v>
      </c>
      <c r="AF259" s="46">
        <f t="shared" si="8"/>
        <v>0</v>
      </c>
      <c r="AG259" s="46">
        <f t="shared" si="9"/>
        <v>0</v>
      </c>
      <c r="AH259" s="46">
        <f t="shared" si="10"/>
        <v>0</v>
      </c>
      <c r="AI259" s="1" t="s">
        <v>141</v>
      </c>
      <c r="AJ259" s="46">
        <f t="shared" si="11"/>
        <v>0</v>
      </c>
      <c r="AK259" s="46">
        <f t="shared" si="12"/>
        <v>0</v>
      </c>
      <c r="AL259" s="46">
        <f t="shared" si="13"/>
        <v>0</v>
      </c>
      <c r="AN259" s="46">
        <v>21</v>
      </c>
      <c r="AO259" s="46">
        <f t="shared" si="14"/>
        <v>0</v>
      </c>
      <c r="AP259" s="46">
        <f t="shared" si="15"/>
        <v>0</v>
      </c>
      <c r="AQ259" s="42" t="s">
        <v>1648</v>
      </c>
      <c r="AV259" s="46">
        <f t="shared" si="16"/>
        <v>0</v>
      </c>
      <c r="AW259" s="46">
        <f t="shared" si="17"/>
        <v>0</v>
      </c>
      <c r="AX259" s="46">
        <f t="shared" si="18"/>
        <v>0</v>
      </c>
      <c r="AY259" s="42" t="s">
        <v>132</v>
      </c>
      <c r="AZ259" s="42" t="s">
        <v>595</v>
      </c>
      <c r="BA259" s="1" t="s">
        <v>1154</v>
      </c>
      <c r="BC259" s="46">
        <f t="shared" si="19"/>
        <v>0</v>
      </c>
      <c r="BD259" s="46">
        <f t="shared" si="20"/>
        <v>0</v>
      </c>
      <c r="BE259" s="46">
        <v>0</v>
      </c>
      <c r="BF259" s="46">
        <f>259</f>
        <v>259</v>
      </c>
      <c r="BH259" s="46">
        <f t="shared" si="21"/>
        <v>0</v>
      </c>
      <c r="BI259" s="46">
        <f t="shared" si="22"/>
        <v>0</v>
      </c>
      <c r="BJ259" s="46">
        <f t="shared" si="23"/>
        <v>0</v>
      </c>
      <c r="BK259" s="46"/>
      <c r="BL259" s="46">
        <v>89</v>
      </c>
    </row>
    <row r="260" spans="1:15" ht="15" customHeight="1">
      <c r="A260" s="10"/>
      <c r="D260" s="32" t="s">
        <v>472</v>
      </c>
      <c r="G260" s="32" t="s">
        <v>1551</v>
      </c>
      <c r="I260" s="58">
        <v>13.000000000000002</v>
      </c>
      <c r="O260" s="30"/>
    </row>
    <row r="261" spans="1:15" ht="15" customHeight="1">
      <c r="A261" s="10"/>
      <c r="D261" s="32" t="s">
        <v>1163</v>
      </c>
      <c r="G261" s="32" t="s">
        <v>1513</v>
      </c>
      <c r="I261" s="58">
        <v>0</v>
      </c>
      <c r="O261" s="30"/>
    </row>
    <row r="262" spans="1:64" ht="15" customHeight="1">
      <c r="A262" s="52" t="s">
        <v>632</v>
      </c>
      <c r="B262" s="43" t="s">
        <v>141</v>
      </c>
      <c r="C262" s="43" t="s">
        <v>812</v>
      </c>
      <c r="D262" s="61" t="s">
        <v>453</v>
      </c>
      <c r="E262" s="61"/>
      <c r="F262" s="61"/>
      <c r="G262" s="61"/>
      <c r="H262" s="43" t="s">
        <v>392</v>
      </c>
      <c r="I262" s="46">
        <v>17</v>
      </c>
      <c r="J262" s="46">
        <v>0</v>
      </c>
      <c r="K262" s="46">
        <f>I262*AO262</f>
        <v>0</v>
      </c>
      <c r="L262" s="46">
        <f>I262*AP262</f>
        <v>0</v>
      </c>
      <c r="M262" s="46">
        <f>I262*J262</f>
        <v>0</v>
      </c>
      <c r="N262" s="46">
        <v>0</v>
      </c>
      <c r="O262" s="6" t="s">
        <v>1149</v>
      </c>
      <c r="Z262" s="46">
        <f>IF(AQ262="5",BJ262,0)</f>
        <v>0</v>
      </c>
      <c r="AB262" s="46">
        <f>IF(AQ262="1",BH262,0)</f>
        <v>0</v>
      </c>
      <c r="AC262" s="46">
        <f>IF(AQ262="1",BI262,0)</f>
        <v>0</v>
      </c>
      <c r="AD262" s="46">
        <f>IF(AQ262="7",BH262,0)</f>
        <v>0</v>
      </c>
      <c r="AE262" s="46">
        <f>IF(AQ262="7",BI262,0)</f>
        <v>0</v>
      </c>
      <c r="AF262" s="46">
        <f>IF(AQ262="2",BH262,0)</f>
        <v>0</v>
      </c>
      <c r="AG262" s="46">
        <f>IF(AQ262="2",BI262,0)</f>
        <v>0</v>
      </c>
      <c r="AH262" s="46">
        <f>IF(AQ262="0",BJ262,0)</f>
        <v>0</v>
      </c>
      <c r="AI262" s="1" t="s">
        <v>141</v>
      </c>
      <c r="AJ262" s="46">
        <f>IF(AN262=0,M262,0)</f>
        <v>0</v>
      </c>
      <c r="AK262" s="46">
        <f>IF(AN262=15,M262,0)</f>
        <v>0</v>
      </c>
      <c r="AL262" s="46">
        <f>IF(AN262=21,M262,0)</f>
        <v>0</v>
      </c>
      <c r="AN262" s="46">
        <v>21</v>
      </c>
      <c r="AO262" s="46">
        <f>J262*0</f>
        <v>0</v>
      </c>
      <c r="AP262" s="46">
        <f>J262*(1-0)</f>
        <v>0</v>
      </c>
      <c r="AQ262" s="42" t="s">
        <v>1648</v>
      </c>
      <c r="AV262" s="46">
        <f>AW262+AX262</f>
        <v>0</v>
      </c>
      <c r="AW262" s="46">
        <f>I262*AO262</f>
        <v>0</v>
      </c>
      <c r="AX262" s="46">
        <f>I262*AP262</f>
        <v>0</v>
      </c>
      <c r="AY262" s="42" t="s">
        <v>132</v>
      </c>
      <c r="AZ262" s="42" t="s">
        <v>595</v>
      </c>
      <c r="BA262" s="1" t="s">
        <v>1154</v>
      </c>
      <c r="BC262" s="46">
        <f>AW262+AX262</f>
        <v>0</v>
      </c>
      <c r="BD262" s="46">
        <f>J262/(100-BE262)*100</f>
        <v>0</v>
      </c>
      <c r="BE262" s="46">
        <v>0</v>
      </c>
      <c r="BF262" s="46">
        <f>262</f>
        <v>262</v>
      </c>
      <c r="BH262" s="46">
        <f>I262*AO262</f>
        <v>0</v>
      </c>
      <c r="BI262" s="46">
        <f>I262*AP262</f>
        <v>0</v>
      </c>
      <c r="BJ262" s="46">
        <f>I262*J262</f>
        <v>0</v>
      </c>
      <c r="BK262" s="46"/>
      <c r="BL262" s="46">
        <v>89</v>
      </c>
    </row>
    <row r="263" spans="1:15" ht="15" customHeight="1">
      <c r="A263" s="10"/>
      <c r="D263" s="32" t="s">
        <v>920</v>
      </c>
      <c r="G263" s="32" t="s">
        <v>1163</v>
      </c>
      <c r="I263" s="58">
        <v>17</v>
      </c>
      <c r="O263" s="30"/>
    </row>
    <row r="264" spans="1:64" ht="15" customHeight="1">
      <c r="A264" s="52" t="s">
        <v>214</v>
      </c>
      <c r="B264" s="43" t="s">
        <v>141</v>
      </c>
      <c r="C264" s="43" t="s">
        <v>782</v>
      </c>
      <c r="D264" s="61" t="s">
        <v>1445</v>
      </c>
      <c r="E264" s="61"/>
      <c r="F264" s="61"/>
      <c r="G264" s="61"/>
      <c r="H264" s="43" t="s">
        <v>392</v>
      </c>
      <c r="I264" s="46">
        <v>17</v>
      </c>
      <c r="J264" s="46">
        <v>0</v>
      </c>
      <c r="K264" s="46">
        <f>I264*AO264</f>
        <v>0</v>
      </c>
      <c r="L264" s="46">
        <f>I264*AP264</f>
        <v>0</v>
      </c>
      <c r="M264" s="46">
        <f>I264*J264</f>
        <v>0</v>
      </c>
      <c r="N264" s="46">
        <v>0</v>
      </c>
      <c r="O264" s="6" t="s">
        <v>1149</v>
      </c>
      <c r="Z264" s="46">
        <f>IF(AQ264="5",BJ264,0)</f>
        <v>0</v>
      </c>
      <c r="AB264" s="46">
        <f>IF(AQ264="1",BH264,0)</f>
        <v>0</v>
      </c>
      <c r="AC264" s="46">
        <f>IF(AQ264="1",BI264,0)</f>
        <v>0</v>
      </c>
      <c r="AD264" s="46">
        <f>IF(AQ264="7",BH264,0)</f>
        <v>0</v>
      </c>
      <c r="AE264" s="46">
        <f>IF(AQ264="7",BI264,0)</f>
        <v>0</v>
      </c>
      <c r="AF264" s="46">
        <f>IF(AQ264="2",BH264,0)</f>
        <v>0</v>
      </c>
      <c r="AG264" s="46">
        <f>IF(AQ264="2",BI264,0)</f>
        <v>0</v>
      </c>
      <c r="AH264" s="46">
        <f>IF(AQ264="0",BJ264,0)</f>
        <v>0</v>
      </c>
      <c r="AI264" s="1" t="s">
        <v>141</v>
      </c>
      <c r="AJ264" s="46">
        <f>IF(AN264=0,M264,0)</f>
        <v>0</v>
      </c>
      <c r="AK264" s="46">
        <f>IF(AN264=15,M264,0)</f>
        <v>0</v>
      </c>
      <c r="AL264" s="46">
        <f>IF(AN264=21,M264,0)</f>
        <v>0</v>
      </c>
      <c r="AN264" s="46">
        <v>21</v>
      </c>
      <c r="AO264" s="46">
        <f>J264*1</f>
        <v>0</v>
      </c>
      <c r="AP264" s="46">
        <f>J264*(1-1)</f>
        <v>0</v>
      </c>
      <c r="AQ264" s="42" t="s">
        <v>1648</v>
      </c>
      <c r="AV264" s="46">
        <f>AW264+AX264</f>
        <v>0</v>
      </c>
      <c r="AW264" s="46">
        <f>I264*AO264</f>
        <v>0</v>
      </c>
      <c r="AX264" s="46">
        <f>I264*AP264</f>
        <v>0</v>
      </c>
      <c r="AY264" s="42" t="s">
        <v>132</v>
      </c>
      <c r="AZ264" s="42" t="s">
        <v>595</v>
      </c>
      <c r="BA264" s="1" t="s">
        <v>1154</v>
      </c>
      <c r="BC264" s="46">
        <f>AW264+AX264</f>
        <v>0</v>
      </c>
      <c r="BD264" s="46">
        <f>J264/(100-BE264)*100</f>
        <v>0</v>
      </c>
      <c r="BE264" s="46">
        <v>0</v>
      </c>
      <c r="BF264" s="46">
        <f>264</f>
        <v>264</v>
      </c>
      <c r="BH264" s="46">
        <f>I264*AO264</f>
        <v>0</v>
      </c>
      <c r="BI264" s="46">
        <f>I264*AP264</f>
        <v>0</v>
      </c>
      <c r="BJ264" s="46">
        <f>I264*J264</f>
        <v>0</v>
      </c>
      <c r="BK264" s="46"/>
      <c r="BL264" s="46">
        <v>89</v>
      </c>
    </row>
    <row r="265" spans="1:15" ht="15" customHeight="1">
      <c r="A265" s="10"/>
      <c r="D265" s="32" t="s">
        <v>920</v>
      </c>
      <c r="G265" s="32" t="s">
        <v>1163</v>
      </c>
      <c r="I265" s="58">
        <v>17</v>
      </c>
      <c r="O265" s="30"/>
    </row>
    <row r="266" spans="1:64" ht="15" customHeight="1">
      <c r="A266" s="52" t="s">
        <v>1822</v>
      </c>
      <c r="B266" s="43" t="s">
        <v>141</v>
      </c>
      <c r="C266" s="43" t="s">
        <v>82</v>
      </c>
      <c r="D266" s="61" t="s">
        <v>471</v>
      </c>
      <c r="E266" s="61"/>
      <c r="F266" s="61"/>
      <c r="G266" s="61"/>
      <c r="H266" s="43" t="s">
        <v>392</v>
      </c>
      <c r="I266" s="46">
        <v>1</v>
      </c>
      <c r="J266" s="46">
        <v>0</v>
      </c>
      <c r="K266" s="46">
        <f>I266*AO266</f>
        <v>0</v>
      </c>
      <c r="L266" s="46">
        <f>I266*AP266</f>
        <v>0</v>
      </c>
      <c r="M266" s="46">
        <f>I266*J266</f>
        <v>0</v>
      </c>
      <c r="N266" s="46">
        <v>1</v>
      </c>
      <c r="O266" s="6" t="s">
        <v>1149</v>
      </c>
      <c r="Z266" s="46">
        <f>IF(AQ266="5",BJ266,0)</f>
        <v>0</v>
      </c>
      <c r="AB266" s="46">
        <f>IF(AQ266="1",BH266,0)</f>
        <v>0</v>
      </c>
      <c r="AC266" s="46">
        <f>IF(AQ266="1",BI266,0)</f>
        <v>0</v>
      </c>
      <c r="AD266" s="46">
        <f>IF(AQ266="7",BH266,0)</f>
        <v>0</v>
      </c>
      <c r="AE266" s="46">
        <f>IF(AQ266="7",BI266,0)</f>
        <v>0</v>
      </c>
      <c r="AF266" s="46">
        <f>IF(AQ266="2",BH266,0)</f>
        <v>0</v>
      </c>
      <c r="AG266" s="46">
        <f>IF(AQ266="2",BI266,0)</f>
        <v>0</v>
      </c>
      <c r="AH266" s="46">
        <f>IF(AQ266="0",BJ266,0)</f>
        <v>0</v>
      </c>
      <c r="AI266" s="1" t="s">
        <v>141</v>
      </c>
      <c r="AJ266" s="46">
        <f>IF(AN266=0,M266,0)</f>
        <v>0</v>
      </c>
      <c r="AK266" s="46">
        <f>IF(AN266=15,M266,0)</f>
        <v>0</v>
      </c>
      <c r="AL266" s="46">
        <f>IF(AN266=21,M266,0)</f>
        <v>0</v>
      </c>
      <c r="AN266" s="46">
        <v>21</v>
      </c>
      <c r="AO266" s="46">
        <f>J266*1</f>
        <v>0</v>
      </c>
      <c r="AP266" s="46">
        <f>J266*(1-1)</f>
        <v>0</v>
      </c>
      <c r="AQ266" s="42" t="s">
        <v>1648</v>
      </c>
      <c r="AV266" s="46">
        <f>AW266+AX266</f>
        <v>0</v>
      </c>
      <c r="AW266" s="46">
        <f>I266*AO266</f>
        <v>0</v>
      </c>
      <c r="AX266" s="46">
        <f>I266*AP266</f>
        <v>0</v>
      </c>
      <c r="AY266" s="42" t="s">
        <v>132</v>
      </c>
      <c r="AZ266" s="42" t="s">
        <v>595</v>
      </c>
      <c r="BA266" s="1" t="s">
        <v>1154</v>
      </c>
      <c r="BC266" s="46">
        <f>AW266+AX266</f>
        <v>0</v>
      </c>
      <c r="BD266" s="46">
        <f>J266/(100-BE266)*100</f>
        <v>0</v>
      </c>
      <c r="BE266" s="46">
        <v>0</v>
      </c>
      <c r="BF266" s="46">
        <f>266</f>
        <v>266</v>
      </c>
      <c r="BH266" s="46">
        <f>I266*AO266</f>
        <v>0</v>
      </c>
      <c r="BI266" s="46">
        <f>I266*AP266</f>
        <v>0</v>
      </c>
      <c r="BJ266" s="46">
        <f>I266*J266</f>
        <v>0</v>
      </c>
      <c r="BK266" s="46"/>
      <c r="BL266" s="46">
        <v>89</v>
      </c>
    </row>
    <row r="267" spans="1:15" ht="15" customHeight="1">
      <c r="A267" s="10"/>
      <c r="D267" s="32" t="s">
        <v>1648</v>
      </c>
      <c r="G267" s="32" t="s">
        <v>663</v>
      </c>
      <c r="I267" s="58">
        <v>1</v>
      </c>
      <c r="O267" s="30"/>
    </row>
    <row r="268" spans="1:64" ht="15" customHeight="1">
      <c r="A268" s="52" t="s">
        <v>773</v>
      </c>
      <c r="B268" s="43" t="s">
        <v>141</v>
      </c>
      <c r="C268" s="43" t="s">
        <v>642</v>
      </c>
      <c r="D268" s="61" t="s">
        <v>1332</v>
      </c>
      <c r="E268" s="61"/>
      <c r="F268" s="61"/>
      <c r="G268" s="61"/>
      <c r="H268" s="43" t="s">
        <v>392</v>
      </c>
      <c r="I268" s="46">
        <v>33</v>
      </c>
      <c r="J268" s="46">
        <v>0</v>
      </c>
      <c r="K268" s="46">
        <f>I268*AO268</f>
        <v>0</v>
      </c>
      <c r="L268" s="46">
        <f>I268*AP268</f>
        <v>0</v>
      </c>
      <c r="M268" s="46">
        <f>I268*J268</f>
        <v>0</v>
      </c>
      <c r="N268" s="46">
        <v>0</v>
      </c>
      <c r="O268" s="6" t="s">
        <v>1149</v>
      </c>
      <c r="Z268" s="46">
        <f>IF(AQ268="5",BJ268,0)</f>
        <v>0</v>
      </c>
      <c r="AB268" s="46">
        <f>IF(AQ268="1",BH268,0)</f>
        <v>0</v>
      </c>
      <c r="AC268" s="46">
        <f>IF(AQ268="1",BI268,0)</f>
        <v>0</v>
      </c>
      <c r="AD268" s="46">
        <f>IF(AQ268="7",BH268,0)</f>
        <v>0</v>
      </c>
      <c r="AE268" s="46">
        <f>IF(AQ268="7",BI268,0)</f>
        <v>0</v>
      </c>
      <c r="AF268" s="46">
        <f>IF(AQ268="2",BH268,0)</f>
        <v>0</v>
      </c>
      <c r="AG268" s="46">
        <f>IF(AQ268="2",BI268,0)</f>
        <v>0</v>
      </c>
      <c r="AH268" s="46">
        <f>IF(AQ268="0",BJ268,0)</f>
        <v>0</v>
      </c>
      <c r="AI268" s="1" t="s">
        <v>141</v>
      </c>
      <c r="AJ268" s="46">
        <f>IF(AN268=0,M268,0)</f>
        <v>0</v>
      </c>
      <c r="AK268" s="46">
        <f>IF(AN268=15,M268,0)</f>
        <v>0</v>
      </c>
      <c r="AL268" s="46">
        <f>IF(AN268=21,M268,0)</f>
        <v>0</v>
      </c>
      <c r="AN268" s="46">
        <v>21</v>
      </c>
      <c r="AO268" s="46">
        <f>J268*1</f>
        <v>0</v>
      </c>
      <c r="AP268" s="46">
        <f>J268*(1-1)</f>
        <v>0</v>
      </c>
      <c r="AQ268" s="42" t="s">
        <v>1648</v>
      </c>
      <c r="AV268" s="46">
        <f>AW268+AX268</f>
        <v>0</v>
      </c>
      <c r="AW268" s="46">
        <f>I268*AO268</f>
        <v>0</v>
      </c>
      <c r="AX268" s="46">
        <f>I268*AP268</f>
        <v>0</v>
      </c>
      <c r="AY268" s="42" t="s">
        <v>132</v>
      </c>
      <c r="AZ268" s="42" t="s">
        <v>595</v>
      </c>
      <c r="BA268" s="1" t="s">
        <v>1154</v>
      </c>
      <c r="BC268" s="46">
        <f>AW268+AX268</f>
        <v>0</v>
      </c>
      <c r="BD268" s="46">
        <f>J268/(100-BE268)*100</f>
        <v>0</v>
      </c>
      <c r="BE268" s="46">
        <v>0</v>
      </c>
      <c r="BF268" s="46">
        <f>268</f>
        <v>268</v>
      </c>
      <c r="BH268" s="46">
        <f>I268*AO268</f>
        <v>0</v>
      </c>
      <c r="BI268" s="46">
        <f>I268*AP268</f>
        <v>0</v>
      </c>
      <c r="BJ268" s="46">
        <f>I268*J268</f>
        <v>0</v>
      </c>
      <c r="BK268" s="46"/>
      <c r="BL268" s="46">
        <v>89</v>
      </c>
    </row>
    <row r="269" spans="1:15" ht="15" customHeight="1">
      <c r="A269" s="10"/>
      <c r="D269" s="32" t="s">
        <v>58</v>
      </c>
      <c r="G269" s="32" t="s">
        <v>836</v>
      </c>
      <c r="I269" s="58">
        <v>33</v>
      </c>
      <c r="O269" s="30"/>
    </row>
    <row r="270" spans="1:64" ht="15" customHeight="1">
      <c r="A270" s="52" t="s">
        <v>1354</v>
      </c>
      <c r="B270" s="43" t="s">
        <v>141</v>
      </c>
      <c r="C270" s="43" t="s">
        <v>1307</v>
      </c>
      <c r="D270" s="61" t="s">
        <v>597</v>
      </c>
      <c r="E270" s="61"/>
      <c r="F270" s="61"/>
      <c r="G270" s="61"/>
      <c r="H270" s="43" t="s">
        <v>392</v>
      </c>
      <c r="I270" s="46">
        <v>18</v>
      </c>
      <c r="J270" s="46">
        <v>0</v>
      </c>
      <c r="K270" s="46">
        <f>I270*AO270</f>
        <v>0</v>
      </c>
      <c r="L270" s="46">
        <f>I270*AP270</f>
        <v>0</v>
      </c>
      <c r="M270" s="46">
        <f>I270*J270</f>
        <v>0</v>
      </c>
      <c r="N270" s="46">
        <v>0.00702</v>
      </c>
      <c r="O270" s="6" t="s">
        <v>1149</v>
      </c>
      <c r="Z270" s="46">
        <f>IF(AQ270="5",BJ270,0)</f>
        <v>0</v>
      </c>
      <c r="AB270" s="46">
        <f>IF(AQ270="1",BH270,0)</f>
        <v>0</v>
      </c>
      <c r="AC270" s="46">
        <f>IF(AQ270="1",BI270,0)</f>
        <v>0</v>
      </c>
      <c r="AD270" s="46">
        <f>IF(AQ270="7",BH270,0)</f>
        <v>0</v>
      </c>
      <c r="AE270" s="46">
        <f>IF(AQ270="7",BI270,0)</f>
        <v>0</v>
      </c>
      <c r="AF270" s="46">
        <f>IF(AQ270="2",BH270,0)</f>
        <v>0</v>
      </c>
      <c r="AG270" s="46">
        <f>IF(AQ270="2",BI270,0)</f>
        <v>0</v>
      </c>
      <c r="AH270" s="46">
        <f>IF(AQ270="0",BJ270,0)</f>
        <v>0</v>
      </c>
      <c r="AI270" s="1" t="s">
        <v>141</v>
      </c>
      <c r="AJ270" s="46">
        <f>IF(AN270=0,M270,0)</f>
        <v>0</v>
      </c>
      <c r="AK270" s="46">
        <f>IF(AN270=15,M270,0)</f>
        <v>0</v>
      </c>
      <c r="AL270" s="46">
        <f>IF(AN270=21,M270,0)</f>
        <v>0</v>
      </c>
      <c r="AN270" s="46">
        <v>21</v>
      </c>
      <c r="AO270" s="46">
        <f>J270*0.0102210490819661</f>
        <v>0</v>
      </c>
      <c r="AP270" s="46">
        <f>J270*(1-0.0102210490819661)</f>
        <v>0</v>
      </c>
      <c r="AQ270" s="42" t="s">
        <v>1648</v>
      </c>
      <c r="AV270" s="46">
        <f>AW270+AX270</f>
        <v>0</v>
      </c>
      <c r="AW270" s="46">
        <f>I270*AO270</f>
        <v>0</v>
      </c>
      <c r="AX270" s="46">
        <f>I270*AP270</f>
        <v>0</v>
      </c>
      <c r="AY270" s="42" t="s">
        <v>132</v>
      </c>
      <c r="AZ270" s="42" t="s">
        <v>595</v>
      </c>
      <c r="BA270" s="1" t="s">
        <v>1154</v>
      </c>
      <c r="BC270" s="46">
        <f>AW270+AX270</f>
        <v>0</v>
      </c>
      <c r="BD270" s="46">
        <f>J270/(100-BE270)*100</f>
        <v>0</v>
      </c>
      <c r="BE270" s="46">
        <v>0</v>
      </c>
      <c r="BF270" s="46">
        <f>270</f>
        <v>270</v>
      </c>
      <c r="BH270" s="46">
        <f>I270*AO270</f>
        <v>0</v>
      </c>
      <c r="BI270" s="46">
        <f>I270*AP270</f>
        <v>0</v>
      </c>
      <c r="BJ270" s="46">
        <f>I270*J270</f>
        <v>0</v>
      </c>
      <c r="BK270" s="46"/>
      <c r="BL270" s="46">
        <v>89</v>
      </c>
    </row>
    <row r="271" spans="1:15" ht="15" customHeight="1">
      <c r="A271" s="10"/>
      <c r="D271" s="32" t="s">
        <v>1027</v>
      </c>
      <c r="G271" s="32" t="s">
        <v>199</v>
      </c>
      <c r="I271" s="58">
        <v>18</v>
      </c>
      <c r="O271" s="30"/>
    </row>
    <row r="272" spans="1:64" ht="15" customHeight="1">
      <c r="A272" s="52" t="s">
        <v>748</v>
      </c>
      <c r="B272" s="43" t="s">
        <v>141</v>
      </c>
      <c r="C272" s="43" t="s">
        <v>1200</v>
      </c>
      <c r="D272" s="61" t="s">
        <v>1032</v>
      </c>
      <c r="E272" s="61"/>
      <c r="F272" s="61"/>
      <c r="G272" s="61"/>
      <c r="H272" s="43" t="s">
        <v>392</v>
      </c>
      <c r="I272" s="46">
        <v>3</v>
      </c>
      <c r="J272" s="46">
        <v>0</v>
      </c>
      <c r="K272" s="46">
        <f>I272*AO272</f>
        <v>0</v>
      </c>
      <c r="L272" s="46">
        <f>I272*AP272</f>
        <v>0</v>
      </c>
      <c r="M272" s="46">
        <f>I272*J272</f>
        <v>0</v>
      </c>
      <c r="N272" s="46">
        <v>0.0695</v>
      </c>
      <c r="O272" s="6" t="s">
        <v>1149</v>
      </c>
      <c r="Z272" s="46">
        <f>IF(AQ272="5",BJ272,0)</f>
        <v>0</v>
      </c>
      <c r="AB272" s="46">
        <f>IF(AQ272="1",BH272,0)</f>
        <v>0</v>
      </c>
      <c r="AC272" s="46">
        <f>IF(AQ272="1",BI272,0)</f>
        <v>0</v>
      </c>
      <c r="AD272" s="46">
        <f>IF(AQ272="7",BH272,0)</f>
        <v>0</v>
      </c>
      <c r="AE272" s="46">
        <f>IF(AQ272="7",BI272,0)</f>
        <v>0</v>
      </c>
      <c r="AF272" s="46">
        <f>IF(AQ272="2",BH272,0)</f>
        <v>0</v>
      </c>
      <c r="AG272" s="46">
        <f>IF(AQ272="2",BI272,0)</f>
        <v>0</v>
      </c>
      <c r="AH272" s="46">
        <f>IF(AQ272="0",BJ272,0)</f>
        <v>0</v>
      </c>
      <c r="AI272" s="1" t="s">
        <v>141</v>
      </c>
      <c r="AJ272" s="46">
        <f>IF(AN272=0,M272,0)</f>
        <v>0</v>
      </c>
      <c r="AK272" s="46">
        <f>IF(AN272=15,M272,0)</f>
        <v>0</v>
      </c>
      <c r="AL272" s="46">
        <f>IF(AN272=21,M272,0)</f>
        <v>0</v>
      </c>
      <c r="AN272" s="46">
        <v>21</v>
      </c>
      <c r="AO272" s="46">
        <f>J272*1</f>
        <v>0</v>
      </c>
      <c r="AP272" s="46">
        <f>J272*(1-1)</f>
        <v>0</v>
      </c>
      <c r="AQ272" s="42" t="s">
        <v>1648</v>
      </c>
      <c r="AV272" s="46">
        <f>AW272+AX272</f>
        <v>0</v>
      </c>
      <c r="AW272" s="46">
        <f>I272*AO272</f>
        <v>0</v>
      </c>
      <c r="AX272" s="46">
        <f>I272*AP272</f>
        <v>0</v>
      </c>
      <c r="AY272" s="42" t="s">
        <v>132</v>
      </c>
      <c r="AZ272" s="42" t="s">
        <v>595</v>
      </c>
      <c r="BA272" s="1" t="s">
        <v>1154</v>
      </c>
      <c r="BC272" s="46">
        <f>AW272+AX272</f>
        <v>0</v>
      </c>
      <c r="BD272" s="46">
        <f>J272/(100-BE272)*100</f>
        <v>0</v>
      </c>
      <c r="BE272" s="46">
        <v>0</v>
      </c>
      <c r="BF272" s="46">
        <f>272</f>
        <v>272</v>
      </c>
      <c r="BH272" s="46">
        <f>I272*AO272</f>
        <v>0</v>
      </c>
      <c r="BI272" s="46">
        <f>I272*AP272</f>
        <v>0</v>
      </c>
      <c r="BJ272" s="46">
        <f>I272*J272</f>
        <v>0</v>
      </c>
      <c r="BK272" s="46"/>
      <c r="BL272" s="46">
        <v>89</v>
      </c>
    </row>
    <row r="273" spans="1:64" ht="15" customHeight="1">
      <c r="A273" s="52" t="s">
        <v>1080</v>
      </c>
      <c r="B273" s="43" t="s">
        <v>141</v>
      </c>
      <c r="C273" s="43" t="s">
        <v>933</v>
      </c>
      <c r="D273" s="61" t="s">
        <v>75</v>
      </c>
      <c r="E273" s="61"/>
      <c r="F273" s="61"/>
      <c r="G273" s="61"/>
      <c r="H273" s="43" t="s">
        <v>392</v>
      </c>
      <c r="I273" s="46">
        <v>15</v>
      </c>
      <c r="J273" s="46">
        <v>0</v>
      </c>
      <c r="K273" s="46">
        <f>I273*AO273</f>
        <v>0</v>
      </c>
      <c r="L273" s="46">
        <f>I273*AP273</f>
        <v>0</v>
      </c>
      <c r="M273" s="46">
        <f>I273*J273</f>
        <v>0</v>
      </c>
      <c r="N273" s="46">
        <v>0.062</v>
      </c>
      <c r="O273" s="6" t="s">
        <v>1149</v>
      </c>
      <c r="Z273" s="46">
        <f>IF(AQ273="5",BJ273,0)</f>
        <v>0</v>
      </c>
      <c r="AB273" s="46">
        <f>IF(AQ273="1",BH273,0)</f>
        <v>0</v>
      </c>
      <c r="AC273" s="46">
        <f>IF(AQ273="1",BI273,0)</f>
        <v>0</v>
      </c>
      <c r="AD273" s="46">
        <f>IF(AQ273="7",BH273,0)</f>
        <v>0</v>
      </c>
      <c r="AE273" s="46">
        <f>IF(AQ273="7",BI273,0)</f>
        <v>0</v>
      </c>
      <c r="AF273" s="46">
        <f>IF(AQ273="2",BH273,0)</f>
        <v>0</v>
      </c>
      <c r="AG273" s="46">
        <f>IF(AQ273="2",BI273,0)</f>
        <v>0</v>
      </c>
      <c r="AH273" s="46">
        <f>IF(AQ273="0",BJ273,0)</f>
        <v>0</v>
      </c>
      <c r="AI273" s="1" t="s">
        <v>141</v>
      </c>
      <c r="AJ273" s="46">
        <f>IF(AN273=0,M273,0)</f>
        <v>0</v>
      </c>
      <c r="AK273" s="46">
        <f>IF(AN273=15,M273,0)</f>
        <v>0</v>
      </c>
      <c r="AL273" s="46">
        <f>IF(AN273=21,M273,0)</f>
        <v>0</v>
      </c>
      <c r="AN273" s="46">
        <v>21</v>
      </c>
      <c r="AO273" s="46">
        <f>J273*1</f>
        <v>0</v>
      </c>
      <c r="AP273" s="46">
        <f>J273*(1-1)</f>
        <v>0</v>
      </c>
      <c r="AQ273" s="42" t="s">
        <v>1648</v>
      </c>
      <c r="AV273" s="46">
        <f>AW273+AX273</f>
        <v>0</v>
      </c>
      <c r="AW273" s="46">
        <f>I273*AO273</f>
        <v>0</v>
      </c>
      <c r="AX273" s="46">
        <f>I273*AP273</f>
        <v>0</v>
      </c>
      <c r="AY273" s="42" t="s">
        <v>132</v>
      </c>
      <c r="AZ273" s="42" t="s">
        <v>595</v>
      </c>
      <c r="BA273" s="1" t="s">
        <v>1154</v>
      </c>
      <c r="BC273" s="46">
        <f>AW273+AX273</f>
        <v>0</v>
      </c>
      <c r="BD273" s="46">
        <f>J273/(100-BE273)*100</f>
        <v>0</v>
      </c>
      <c r="BE273" s="46">
        <v>0</v>
      </c>
      <c r="BF273" s="46">
        <f>273</f>
        <v>273</v>
      </c>
      <c r="BH273" s="46">
        <f>I273*AO273</f>
        <v>0</v>
      </c>
      <c r="BI273" s="46">
        <f>I273*AP273</f>
        <v>0</v>
      </c>
      <c r="BJ273" s="46">
        <f>I273*J273</f>
        <v>0</v>
      </c>
      <c r="BK273" s="46"/>
      <c r="BL273" s="46">
        <v>89</v>
      </c>
    </row>
    <row r="274" spans="1:64" ht="15" customHeight="1">
      <c r="A274" s="52" t="s">
        <v>1803</v>
      </c>
      <c r="B274" s="43" t="s">
        <v>141</v>
      </c>
      <c r="C274" s="43" t="s">
        <v>730</v>
      </c>
      <c r="D274" s="61" t="s">
        <v>1870</v>
      </c>
      <c r="E274" s="61"/>
      <c r="F274" s="61"/>
      <c r="G274" s="61"/>
      <c r="H274" s="43" t="s">
        <v>392</v>
      </c>
      <c r="I274" s="46">
        <v>1</v>
      </c>
      <c r="J274" s="46">
        <v>0</v>
      </c>
      <c r="K274" s="46">
        <f>I274*AO274</f>
        <v>0</v>
      </c>
      <c r="L274" s="46">
        <f>I274*AP274</f>
        <v>0</v>
      </c>
      <c r="M274" s="46">
        <f>I274*J274</f>
        <v>0</v>
      </c>
      <c r="N274" s="46">
        <v>5.112</v>
      </c>
      <c r="O274" s="6" t="s">
        <v>1149</v>
      </c>
      <c r="Z274" s="46">
        <f>IF(AQ274="5",BJ274,0)</f>
        <v>0</v>
      </c>
      <c r="AB274" s="46">
        <f>IF(AQ274="1",BH274,0)</f>
        <v>0</v>
      </c>
      <c r="AC274" s="46">
        <f>IF(AQ274="1",BI274,0)</f>
        <v>0</v>
      </c>
      <c r="AD274" s="46">
        <f>IF(AQ274="7",BH274,0)</f>
        <v>0</v>
      </c>
      <c r="AE274" s="46">
        <f>IF(AQ274="7",BI274,0)</f>
        <v>0</v>
      </c>
      <c r="AF274" s="46">
        <f>IF(AQ274="2",BH274,0)</f>
        <v>0</v>
      </c>
      <c r="AG274" s="46">
        <f>IF(AQ274="2",BI274,0)</f>
        <v>0</v>
      </c>
      <c r="AH274" s="46">
        <f>IF(AQ274="0",BJ274,0)</f>
        <v>0</v>
      </c>
      <c r="AI274" s="1" t="s">
        <v>141</v>
      </c>
      <c r="AJ274" s="46">
        <f>IF(AN274=0,M274,0)</f>
        <v>0</v>
      </c>
      <c r="AK274" s="46">
        <f>IF(AN274=15,M274,0)</f>
        <v>0</v>
      </c>
      <c r="AL274" s="46">
        <f>IF(AN274=21,M274,0)</f>
        <v>0</v>
      </c>
      <c r="AN274" s="46">
        <v>21</v>
      </c>
      <c r="AO274" s="46">
        <f>J274*0.304254118913739</f>
        <v>0</v>
      </c>
      <c r="AP274" s="46">
        <f>J274*(1-0.304254118913739)</f>
        <v>0</v>
      </c>
      <c r="AQ274" s="42" t="s">
        <v>1648</v>
      </c>
      <c r="AV274" s="46">
        <f>AW274+AX274</f>
        <v>0</v>
      </c>
      <c r="AW274" s="46">
        <f>I274*AO274</f>
        <v>0</v>
      </c>
      <c r="AX274" s="46">
        <f>I274*AP274</f>
        <v>0</v>
      </c>
      <c r="AY274" s="42" t="s">
        <v>132</v>
      </c>
      <c r="AZ274" s="42" t="s">
        <v>595</v>
      </c>
      <c r="BA274" s="1" t="s">
        <v>1154</v>
      </c>
      <c r="BC274" s="46">
        <f>AW274+AX274</f>
        <v>0</v>
      </c>
      <c r="BD274" s="46">
        <f>J274/(100-BE274)*100</f>
        <v>0</v>
      </c>
      <c r="BE274" s="46">
        <v>0</v>
      </c>
      <c r="BF274" s="46">
        <f>274</f>
        <v>274</v>
      </c>
      <c r="BH274" s="46">
        <f>I274*AO274</f>
        <v>0</v>
      </c>
      <c r="BI274" s="46">
        <f>I274*AP274</f>
        <v>0</v>
      </c>
      <c r="BJ274" s="46">
        <f>I274*J274</f>
        <v>0</v>
      </c>
      <c r="BK274" s="46"/>
      <c r="BL274" s="46">
        <v>89</v>
      </c>
    </row>
    <row r="275" spans="1:64" ht="15" customHeight="1">
      <c r="A275" s="52" t="s">
        <v>1179</v>
      </c>
      <c r="B275" s="43" t="s">
        <v>141</v>
      </c>
      <c r="C275" s="43" t="s">
        <v>817</v>
      </c>
      <c r="D275" s="61" t="s">
        <v>136</v>
      </c>
      <c r="E275" s="61"/>
      <c r="F275" s="61"/>
      <c r="G275" s="61"/>
      <c r="H275" s="43" t="s">
        <v>392</v>
      </c>
      <c r="I275" s="46">
        <v>3</v>
      </c>
      <c r="J275" s="46">
        <v>0</v>
      </c>
      <c r="K275" s="46">
        <f>I275*AO275</f>
        <v>0</v>
      </c>
      <c r="L275" s="46">
        <f>I275*AP275</f>
        <v>0</v>
      </c>
      <c r="M275" s="46">
        <f>I275*J275</f>
        <v>0</v>
      </c>
      <c r="N275" s="46">
        <v>1.17689</v>
      </c>
      <c r="O275" s="6" t="s">
        <v>1149</v>
      </c>
      <c r="Z275" s="46">
        <f>IF(AQ275="5",BJ275,0)</f>
        <v>0</v>
      </c>
      <c r="AB275" s="46">
        <f>IF(AQ275="1",BH275,0)</f>
        <v>0</v>
      </c>
      <c r="AC275" s="46">
        <f>IF(AQ275="1",BI275,0)</f>
        <v>0</v>
      </c>
      <c r="AD275" s="46">
        <f>IF(AQ275="7",BH275,0)</f>
        <v>0</v>
      </c>
      <c r="AE275" s="46">
        <f>IF(AQ275="7",BI275,0)</f>
        <v>0</v>
      </c>
      <c r="AF275" s="46">
        <f>IF(AQ275="2",BH275,0)</f>
        <v>0</v>
      </c>
      <c r="AG275" s="46">
        <f>IF(AQ275="2",BI275,0)</f>
        <v>0</v>
      </c>
      <c r="AH275" s="46">
        <f>IF(AQ275="0",BJ275,0)</f>
        <v>0</v>
      </c>
      <c r="AI275" s="1" t="s">
        <v>141</v>
      </c>
      <c r="AJ275" s="46">
        <f>IF(AN275=0,M275,0)</f>
        <v>0</v>
      </c>
      <c r="AK275" s="46">
        <f>IF(AN275=15,M275,0)</f>
        <v>0</v>
      </c>
      <c r="AL275" s="46">
        <f>IF(AN275=21,M275,0)</f>
        <v>0</v>
      </c>
      <c r="AN275" s="46">
        <v>21</v>
      </c>
      <c r="AO275" s="46">
        <f>J275*0.447255018587361</f>
        <v>0</v>
      </c>
      <c r="AP275" s="46">
        <f>J275*(1-0.447255018587361)</f>
        <v>0</v>
      </c>
      <c r="AQ275" s="42" t="s">
        <v>1648</v>
      </c>
      <c r="AV275" s="46">
        <f>AW275+AX275</f>
        <v>0</v>
      </c>
      <c r="AW275" s="46">
        <f>I275*AO275</f>
        <v>0</v>
      </c>
      <c r="AX275" s="46">
        <f>I275*AP275</f>
        <v>0</v>
      </c>
      <c r="AY275" s="42" t="s">
        <v>132</v>
      </c>
      <c r="AZ275" s="42" t="s">
        <v>595</v>
      </c>
      <c r="BA275" s="1" t="s">
        <v>1154</v>
      </c>
      <c r="BC275" s="46">
        <f>AW275+AX275</f>
        <v>0</v>
      </c>
      <c r="BD275" s="46">
        <f>J275/(100-BE275)*100</f>
        <v>0</v>
      </c>
      <c r="BE275" s="46">
        <v>0</v>
      </c>
      <c r="BF275" s="46">
        <f>275</f>
        <v>275</v>
      </c>
      <c r="BH275" s="46">
        <f>I275*AO275</f>
        <v>0</v>
      </c>
      <c r="BI275" s="46">
        <f>I275*AP275</f>
        <v>0</v>
      </c>
      <c r="BJ275" s="46">
        <f>I275*J275</f>
        <v>0</v>
      </c>
      <c r="BK275" s="46"/>
      <c r="BL275" s="46">
        <v>89</v>
      </c>
    </row>
    <row r="276" spans="1:15" ht="15" customHeight="1">
      <c r="A276" s="10"/>
      <c r="D276" s="32" t="s">
        <v>1430</v>
      </c>
      <c r="G276" s="32" t="s">
        <v>794</v>
      </c>
      <c r="I276" s="58">
        <v>3.0000000000000004</v>
      </c>
      <c r="O276" s="30"/>
    </row>
    <row r="277" spans="1:64" ht="15" customHeight="1">
      <c r="A277" s="52" t="s">
        <v>1821</v>
      </c>
      <c r="B277" s="43" t="s">
        <v>141</v>
      </c>
      <c r="C277" s="43" t="s">
        <v>486</v>
      </c>
      <c r="D277" s="61" t="s">
        <v>181</v>
      </c>
      <c r="E277" s="61"/>
      <c r="F277" s="61"/>
      <c r="G277" s="61"/>
      <c r="H277" s="43" t="s">
        <v>392</v>
      </c>
      <c r="I277" s="46">
        <v>40</v>
      </c>
      <c r="J277" s="46">
        <v>0</v>
      </c>
      <c r="K277" s="46">
        <f aca="true" t="shared" si="24" ref="K277:K286">I277*AO277</f>
        <v>0</v>
      </c>
      <c r="L277" s="46">
        <f aca="true" t="shared" si="25" ref="L277:L286">I277*AP277</f>
        <v>0</v>
      </c>
      <c r="M277" s="46">
        <f aca="true" t="shared" si="26" ref="M277:M286">I277*J277</f>
        <v>0</v>
      </c>
      <c r="N277" s="46">
        <v>0.3409</v>
      </c>
      <c r="O277" s="6" t="s">
        <v>1149</v>
      </c>
      <c r="Z277" s="46">
        <f aca="true" t="shared" si="27" ref="Z277:Z286">IF(AQ277="5",BJ277,0)</f>
        <v>0</v>
      </c>
      <c r="AB277" s="46">
        <f aca="true" t="shared" si="28" ref="AB277:AB286">IF(AQ277="1",BH277,0)</f>
        <v>0</v>
      </c>
      <c r="AC277" s="46">
        <f aca="true" t="shared" si="29" ref="AC277:AC286">IF(AQ277="1",BI277,0)</f>
        <v>0</v>
      </c>
      <c r="AD277" s="46">
        <f aca="true" t="shared" si="30" ref="AD277:AD286">IF(AQ277="7",BH277,0)</f>
        <v>0</v>
      </c>
      <c r="AE277" s="46">
        <f aca="true" t="shared" si="31" ref="AE277:AE286">IF(AQ277="7",BI277,0)</f>
        <v>0</v>
      </c>
      <c r="AF277" s="46">
        <f aca="true" t="shared" si="32" ref="AF277:AF286">IF(AQ277="2",BH277,0)</f>
        <v>0</v>
      </c>
      <c r="AG277" s="46">
        <f aca="true" t="shared" si="33" ref="AG277:AG286">IF(AQ277="2",BI277,0)</f>
        <v>0</v>
      </c>
      <c r="AH277" s="46">
        <f aca="true" t="shared" si="34" ref="AH277:AH286">IF(AQ277="0",BJ277,0)</f>
        <v>0</v>
      </c>
      <c r="AI277" s="1" t="s">
        <v>141</v>
      </c>
      <c r="AJ277" s="46">
        <f aca="true" t="shared" si="35" ref="AJ277:AJ286">IF(AN277=0,M277,0)</f>
        <v>0</v>
      </c>
      <c r="AK277" s="46">
        <f aca="true" t="shared" si="36" ref="AK277:AK286">IF(AN277=15,M277,0)</f>
        <v>0</v>
      </c>
      <c r="AL277" s="46">
        <f aca="true" t="shared" si="37" ref="AL277:AL286">IF(AN277=21,M277,0)</f>
        <v>0</v>
      </c>
      <c r="AN277" s="46">
        <v>21</v>
      </c>
      <c r="AO277" s="46">
        <f>J277*0.0556350710900474</f>
        <v>0</v>
      </c>
      <c r="AP277" s="46">
        <f>J277*(1-0.0556350710900474)</f>
        <v>0</v>
      </c>
      <c r="AQ277" s="42" t="s">
        <v>1648</v>
      </c>
      <c r="AV277" s="46">
        <f aca="true" t="shared" si="38" ref="AV277:AV286">AW277+AX277</f>
        <v>0</v>
      </c>
      <c r="AW277" s="46">
        <f aca="true" t="shared" si="39" ref="AW277:AW286">I277*AO277</f>
        <v>0</v>
      </c>
      <c r="AX277" s="46">
        <f aca="true" t="shared" si="40" ref="AX277:AX286">I277*AP277</f>
        <v>0</v>
      </c>
      <c r="AY277" s="42" t="s">
        <v>132</v>
      </c>
      <c r="AZ277" s="42" t="s">
        <v>595</v>
      </c>
      <c r="BA277" s="1" t="s">
        <v>1154</v>
      </c>
      <c r="BC277" s="46">
        <f aca="true" t="shared" si="41" ref="BC277:BC286">AW277+AX277</f>
        <v>0</v>
      </c>
      <c r="BD277" s="46">
        <f aca="true" t="shared" si="42" ref="BD277:BD286">J277/(100-BE277)*100</f>
        <v>0</v>
      </c>
      <c r="BE277" s="46">
        <v>0</v>
      </c>
      <c r="BF277" s="46">
        <f>277</f>
        <v>277</v>
      </c>
      <c r="BH277" s="46">
        <f aca="true" t="shared" si="43" ref="BH277:BH286">I277*AO277</f>
        <v>0</v>
      </c>
      <c r="BI277" s="46">
        <f aca="true" t="shared" si="44" ref="BI277:BI286">I277*AP277</f>
        <v>0</v>
      </c>
      <c r="BJ277" s="46">
        <f aca="true" t="shared" si="45" ref="BJ277:BJ286">I277*J277</f>
        <v>0</v>
      </c>
      <c r="BK277" s="46"/>
      <c r="BL277" s="46">
        <v>89</v>
      </c>
    </row>
    <row r="278" spans="1:64" ht="15" customHeight="1">
      <c r="A278" s="52" t="s">
        <v>1695</v>
      </c>
      <c r="B278" s="43" t="s">
        <v>141</v>
      </c>
      <c r="C278" s="43" t="s">
        <v>858</v>
      </c>
      <c r="D278" s="61" t="s">
        <v>1342</v>
      </c>
      <c r="E278" s="61"/>
      <c r="F278" s="61"/>
      <c r="G278" s="61"/>
      <c r="H278" s="43" t="s">
        <v>392</v>
      </c>
      <c r="I278" s="46">
        <v>40</v>
      </c>
      <c r="J278" s="46">
        <v>0</v>
      </c>
      <c r="K278" s="46">
        <f t="shared" si="24"/>
        <v>0</v>
      </c>
      <c r="L278" s="46">
        <f t="shared" si="25"/>
        <v>0</v>
      </c>
      <c r="M278" s="46">
        <f t="shared" si="26"/>
        <v>0</v>
      </c>
      <c r="N278" s="46">
        <v>0.054</v>
      </c>
      <c r="O278" s="6" t="s">
        <v>1149</v>
      </c>
      <c r="Z278" s="46">
        <f t="shared" si="27"/>
        <v>0</v>
      </c>
      <c r="AB278" s="46">
        <f t="shared" si="28"/>
        <v>0</v>
      </c>
      <c r="AC278" s="46">
        <f t="shared" si="29"/>
        <v>0</v>
      </c>
      <c r="AD278" s="46">
        <f t="shared" si="30"/>
        <v>0</v>
      </c>
      <c r="AE278" s="46">
        <f t="shared" si="31"/>
        <v>0</v>
      </c>
      <c r="AF278" s="46">
        <f t="shared" si="32"/>
        <v>0</v>
      </c>
      <c r="AG278" s="46">
        <f t="shared" si="33"/>
        <v>0</v>
      </c>
      <c r="AH278" s="46">
        <f t="shared" si="34"/>
        <v>0</v>
      </c>
      <c r="AI278" s="1" t="s">
        <v>141</v>
      </c>
      <c r="AJ278" s="46">
        <f t="shared" si="35"/>
        <v>0</v>
      </c>
      <c r="AK278" s="46">
        <f t="shared" si="36"/>
        <v>0</v>
      </c>
      <c r="AL278" s="46">
        <f t="shared" si="37"/>
        <v>0</v>
      </c>
      <c r="AN278" s="46">
        <v>21</v>
      </c>
      <c r="AO278" s="46">
        <f aca="true" t="shared" si="46" ref="AO278:AO283">J278*1</f>
        <v>0</v>
      </c>
      <c r="AP278" s="46">
        <f aca="true" t="shared" si="47" ref="AP278:AP283">J278*(1-1)</f>
        <v>0</v>
      </c>
      <c r="AQ278" s="42" t="s">
        <v>1648</v>
      </c>
      <c r="AV278" s="46">
        <f t="shared" si="38"/>
        <v>0</v>
      </c>
      <c r="AW278" s="46">
        <f t="shared" si="39"/>
        <v>0</v>
      </c>
      <c r="AX278" s="46">
        <f t="shared" si="40"/>
        <v>0</v>
      </c>
      <c r="AY278" s="42" t="s">
        <v>132</v>
      </c>
      <c r="AZ278" s="42" t="s">
        <v>595</v>
      </c>
      <c r="BA278" s="1" t="s">
        <v>1154</v>
      </c>
      <c r="BC278" s="46">
        <f t="shared" si="41"/>
        <v>0</v>
      </c>
      <c r="BD278" s="46">
        <f t="shared" si="42"/>
        <v>0</v>
      </c>
      <c r="BE278" s="46">
        <v>0</v>
      </c>
      <c r="BF278" s="46">
        <f>278</f>
        <v>278</v>
      </c>
      <c r="BH278" s="46">
        <f t="shared" si="43"/>
        <v>0</v>
      </c>
      <c r="BI278" s="46">
        <f t="shared" si="44"/>
        <v>0</v>
      </c>
      <c r="BJ278" s="46">
        <f t="shared" si="45"/>
        <v>0</v>
      </c>
      <c r="BK278" s="46"/>
      <c r="BL278" s="46">
        <v>89</v>
      </c>
    </row>
    <row r="279" spans="1:64" ht="15" customHeight="1">
      <c r="A279" s="52" t="s">
        <v>1595</v>
      </c>
      <c r="B279" s="43" t="s">
        <v>141</v>
      </c>
      <c r="C279" s="43" t="s">
        <v>1436</v>
      </c>
      <c r="D279" s="61" t="s">
        <v>37</v>
      </c>
      <c r="E279" s="61"/>
      <c r="F279" s="61"/>
      <c r="G279" s="61"/>
      <c r="H279" s="43" t="s">
        <v>392</v>
      </c>
      <c r="I279" s="46">
        <v>40</v>
      </c>
      <c r="J279" s="46">
        <v>0</v>
      </c>
      <c r="K279" s="46">
        <f t="shared" si="24"/>
        <v>0</v>
      </c>
      <c r="L279" s="46">
        <f t="shared" si="25"/>
        <v>0</v>
      </c>
      <c r="M279" s="46">
        <f t="shared" si="26"/>
        <v>0</v>
      </c>
      <c r="N279" s="46">
        <v>0.067</v>
      </c>
      <c r="O279" s="6" t="s">
        <v>1149</v>
      </c>
      <c r="Z279" s="46">
        <f t="shared" si="27"/>
        <v>0</v>
      </c>
      <c r="AB279" s="46">
        <f t="shared" si="28"/>
        <v>0</v>
      </c>
      <c r="AC279" s="46">
        <f t="shared" si="29"/>
        <v>0</v>
      </c>
      <c r="AD279" s="46">
        <f t="shared" si="30"/>
        <v>0</v>
      </c>
      <c r="AE279" s="46">
        <f t="shared" si="31"/>
        <v>0</v>
      </c>
      <c r="AF279" s="46">
        <f t="shared" si="32"/>
        <v>0</v>
      </c>
      <c r="AG279" s="46">
        <f t="shared" si="33"/>
        <v>0</v>
      </c>
      <c r="AH279" s="46">
        <f t="shared" si="34"/>
        <v>0</v>
      </c>
      <c r="AI279" s="1" t="s">
        <v>141</v>
      </c>
      <c r="AJ279" s="46">
        <f t="shared" si="35"/>
        <v>0</v>
      </c>
      <c r="AK279" s="46">
        <f t="shared" si="36"/>
        <v>0</v>
      </c>
      <c r="AL279" s="46">
        <f t="shared" si="37"/>
        <v>0</v>
      </c>
      <c r="AN279" s="46">
        <v>21</v>
      </c>
      <c r="AO279" s="46">
        <f t="shared" si="46"/>
        <v>0</v>
      </c>
      <c r="AP279" s="46">
        <f t="shared" si="47"/>
        <v>0</v>
      </c>
      <c r="AQ279" s="42" t="s">
        <v>1648</v>
      </c>
      <c r="AV279" s="46">
        <f t="shared" si="38"/>
        <v>0</v>
      </c>
      <c r="AW279" s="46">
        <f t="shared" si="39"/>
        <v>0</v>
      </c>
      <c r="AX279" s="46">
        <f t="shared" si="40"/>
        <v>0</v>
      </c>
      <c r="AY279" s="42" t="s">
        <v>132</v>
      </c>
      <c r="AZ279" s="42" t="s">
        <v>595</v>
      </c>
      <c r="BA279" s="1" t="s">
        <v>1154</v>
      </c>
      <c r="BC279" s="46">
        <f t="shared" si="41"/>
        <v>0</v>
      </c>
      <c r="BD279" s="46">
        <f t="shared" si="42"/>
        <v>0</v>
      </c>
      <c r="BE279" s="46">
        <v>0</v>
      </c>
      <c r="BF279" s="46">
        <f>279</f>
        <v>279</v>
      </c>
      <c r="BH279" s="46">
        <f t="shared" si="43"/>
        <v>0</v>
      </c>
      <c r="BI279" s="46">
        <f t="shared" si="44"/>
        <v>0</v>
      </c>
      <c r="BJ279" s="46">
        <f t="shared" si="45"/>
        <v>0</v>
      </c>
      <c r="BK279" s="46"/>
      <c r="BL279" s="46">
        <v>89</v>
      </c>
    </row>
    <row r="280" spans="1:64" ht="15" customHeight="1">
      <c r="A280" s="52" t="s">
        <v>863</v>
      </c>
      <c r="B280" s="43" t="s">
        <v>141</v>
      </c>
      <c r="C280" s="43" t="s">
        <v>1413</v>
      </c>
      <c r="D280" s="61" t="s">
        <v>848</v>
      </c>
      <c r="E280" s="61"/>
      <c r="F280" s="61"/>
      <c r="G280" s="61"/>
      <c r="H280" s="43" t="s">
        <v>392</v>
      </c>
      <c r="I280" s="46">
        <v>40</v>
      </c>
      <c r="J280" s="46">
        <v>0</v>
      </c>
      <c r="K280" s="46">
        <f t="shared" si="24"/>
        <v>0</v>
      </c>
      <c r="L280" s="46">
        <f t="shared" si="25"/>
        <v>0</v>
      </c>
      <c r="M280" s="46">
        <f t="shared" si="26"/>
        <v>0</v>
      </c>
      <c r="N280" s="46">
        <v>0.298</v>
      </c>
      <c r="O280" s="6" t="s">
        <v>1149</v>
      </c>
      <c r="Z280" s="46">
        <f t="shared" si="27"/>
        <v>0</v>
      </c>
      <c r="AB280" s="46">
        <f t="shared" si="28"/>
        <v>0</v>
      </c>
      <c r="AC280" s="46">
        <f t="shared" si="29"/>
        <v>0</v>
      </c>
      <c r="AD280" s="46">
        <f t="shared" si="30"/>
        <v>0</v>
      </c>
      <c r="AE280" s="46">
        <f t="shared" si="31"/>
        <v>0</v>
      </c>
      <c r="AF280" s="46">
        <f t="shared" si="32"/>
        <v>0</v>
      </c>
      <c r="AG280" s="46">
        <f t="shared" si="33"/>
        <v>0</v>
      </c>
      <c r="AH280" s="46">
        <f t="shared" si="34"/>
        <v>0</v>
      </c>
      <c r="AI280" s="1" t="s">
        <v>141</v>
      </c>
      <c r="AJ280" s="46">
        <f t="shared" si="35"/>
        <v>0</v>
      </c>
      <c r="AK280" s="46">
        <f t="shared" si="36"/>
        <v>0</v>
      </c>
      <c r="AL280" s="46">
        <f t="shared" si="37"/>
        <v>0</v>
      </c>
      <c r="AN280" s="46">
        <v>21</v>
      </c>
      <c r="AO280" s="46">
        <f t="shared" si="46"/>
        <v>0</v>
      </c>
      <c r="AP280" s="46">
        <f t="shared" si="47"/>
        <v>0</v>
      </c>
      <c r="AQ280" s="42" t="s">
        <v>1648</v>
      </c>
      <c r="AV280" s="46">
        <f t="shared" si="38"/>
        <v>0</v>
      </c>
      <c r="AW280" s="46">
        <f t="shared" si="39"/>
        <v>0</v>
      </c>
      <c r="AX280" s="46">
        <f t="shared" si="40"/>
        <v>0</v>
      </c>
      <c r="AY280" s="42" t="s">
        <v>132</v>
      </c>
      <c r="AZ280" s="42" t="s">
        <v>595</v>
      </c>
      <c r="BA280" s="1" t="s">
        <v>1154</v>
      </c>
      <c r="BC280" s="46">
        <f t="shared" si="41"/>
        <v>0</v>
      </c>
      <c r="BD280" s="46">
        <f t="shared" si="42"/>
        <v>0</v>
      </c>
      <c r="BE280" s="46">
        <v>0</v>
      </c>
      <c r="BF280" s="46">
        <f>280</f>
        <v>280</v>
      </c>
      <c r="BH280" s="46">
        <f t="shared" si="43"/>
        <v>0</v>
      </c>
      <c r="BI280" s="46">
        <f t="shared" si="44"/>
        <v>0</v>
      </c>
      <c r="BJ280" s="46">
        <f t="shared" si="45"/>
        <v>0</v>
      </c>
      <c r="BK280" s="46"/>
      <c r="BL280" s="46">
        <v>89</v>
      </c>
    </row>
    <row r="281" spans="1:64" ht="15" customHeight="1">
      <c r="A281" s="52" t="s">
        <v>753</v>
      </c>
      <c r="B281" s="43" t="s">
        <v>141</v>
      </c>
      <c r="C281" s="43" t="s">
        <v>1272</v>
      </c>
      <c r="D281" s="61" t="s">
        <v>1303</v>
      </c>
      <c r="E281" s="61"/>
      <c r="F281" s="61"/>
      <c r="G281" s="61"/>
      <c r="H281" s="43" t="s">
        <v>392</v>
      </c>
      <c r="I281" s="46">
        <v>40</v>
      </c>
      <c r="J281" s="46">
        <v>0</v>
      </c>
      <c r="K281" s="46">
        <f t="shared" si="24"/>
        <v>0</v>
      </c>
      <c r="L281" s="46">
        <f t="shared" si="25"/>
        <v>0</v>
      </c>
      <c r="M281" s="46">
        <f t="shared" si="26"/>
        <v>0</v>
      </c>
      <c r="N281" s="46">
        <v>0.112</v>
      </c>
      <c r="O281" s="6" t="s">
        <v>1149</v>
      </c>
      <c r="Z281" s="46">
        <f t="shared" si="27"/>
        <v>0</v>
      </c>
      <c r="AB281" s="46">
        <f t="shared" si="28"/>
        <v>0</v>
      </c>
      <c r="AC281" s="46">
        <f t="shared" si="29"/>
        <v>0</v>
      </c>
      <c r="AD281" s="46">
        <f t="shared" si="30"/>
        <v>0</v>
      </c>
      <c r="AE281" s="46">
        <f t="shared" si="31"/>
        <v>0</v>
      </c>
      <c r="AF281" s="46">
        <f t="shared" si="32"/>
        <v>0</v>
      </c>
      <c r="AG281" s="46">
        <f t="shared" si="33"/>
        <v>0</v>
      </c>
      <c r="AH281" s="46">
        <f t="shared" si="34"/>
        <v>0</v>
      </c>
      <c r="AI281" s="1" t="s">
        <v>141</v>
      </c>
      <c r="AJ281" s="46">
        <f t="shared" si="35"/>
        <v>0</v>
      </c>
      <c r="AK281" s="46">
        <f t="shared" si="36"/>
        <v>0</v>
      </c>
      <c r="AL281" s="46">
        <f t="shared" si="37"/>
        <v>0</v>
      </c>
      <c r="AN281" s="46">
        <v>21</v>
      </c>
      <c r="AO281" s="46">
        <f t="shared" si="46"/>
        <v>0</v>
      </c>
      <c r="AP281" s="46">
        <f t="shared" si="47"/>
        <v>0</v>
      </c>
      <c r="AQ281" s="42" t="s">
        <v>1648</v>
      </c>
      <c r="AV281" s="46">
        <f t="shared" si="38"/>
        <v>0</v>
      </c>
      <c r="AW281" s="46">
        <f t="shared" si="39"/>
        <v>0</v>
      </c>
      <c r="AX281" s="46">
        <f t="shared" si="40"/>
        <v>0</v>
      </c>
      <c r="AY281" s="42" t="s">
        <v>132</v>
      </c>
      <c r="AZ281" s="42" t="s">
        <v>595</v>
      </c>
      <c r="BA281" s="1" t="s">
        <v>1154</v>
      </c>
      <c r="BC281" s="46">
        <f t="shared" si="41"/>
        <v>0</v>
      </c>
      <c r="BD281" s="46">
        <f t="shared" si="42"/>
        <v>0</v>
      </c>
      <c r="BE281" s="46">
        <v>0</v>
      </c>
      <c r="BF281" s="46">
        <f>281</f>
        <v>281</v>
      </c>
      <c r="BH281" s="46">
        <f t="shared" si="43"/>
        <v>0</v>
      </c>
      <c r="BI281" s="46">
        <f t="shared" si="44"/>
        <v>0</v>
      </c>
      <c r="BJ281" s="46">
        <f t="shared" si="45"/>
        <v>0</v>
      </c>
      <c r="BK281" s="46"/>
      <c r="BL281" s="46">
        <v>89</v>
      </c>
    </row>
    <row r="282" spans="1:64" ht="15" customHeight="1">
      <c r="A282" s="52" t="s">
        <v>680</v>
      </c>
      <c r="B282" s="43" t="s">
        <v>141</v>
      </c>
      <c r="C282" s="43" t="s">
        <v>180</v>
      </c>
      <c r="D282" s="61" t="s">
        <v>913</v>
      </c>
      <c r="E282" s="61"/>
      <c r="F282" s="61"/>
      <c r="G282" s="61"/>
      <c r="H282" s="43" t="s">
        <v>392</v>
      </c>
      <c r="I282" s="46">
        <v>40</v>
      </c>
      <c r="J282" s="46">
        <v>0</v>
      </c>
      <c r="K282" s="46">
        <f t="shared" si="24"/>
        <v>0</v>
      </c>
      <c r="L282" s="46">
        <f t="shared" si="25"/>
        <v>0</v>
      </c>
      <c r="M282" s="46">
        <f t="shared" si="26"/>
        <v>0</v>
      </c>
      <c r="N282" s="46">
        <v>0.014</v>
      </c>
      <c r="O282" s="6" t="s">
        <v>1149</v>
      </c>
      <c r="Z282" s="46">
        <f t="shared" si="27"/>
        <v>0</v>
      </c>
      <c r="AB282" s="46">
        <f t="shared" si="28"/>
        <v>0</v>
      </c>
      <c r="AC282" s="46">
        <f t="shared" si="29"/>
        <v>0</v>
      </c>
      <c r="AD282" s="46">
        <f t="shared" si="30"/>
        <v>0</v>
      </c>
      <c r="AE282" s="46">
        <f t="shared" si="31"/>
        <v>0</v>
      </c>
      <c r="AF282" s="46">
        <f t="shared" si="32"/>
        <v>0</v>
      </c>
      <c r="AG282" s="46">
        <f t="shared" si="33"/>
        <v>0</v>
      </c>
      <c r="AH282" s="46">
        <f t="shared" si="34"/>
        <v>0</v>
      </c>
      <c r="AI282" s="1" t="s">
        <v>141</v>
      </c>
      <c r="AJ282" s="46">
        <f t="shared" si="35"/>
        <v>0</v>
      </c>
      <c r="AK282" s="46">
        <f t="shared" si="36"/>
        <v>0</v>
      </c>
      <c r="AL282" s="46">
        <f t="shared" si="37"/>
        <v>0</v>
      </c>
      <c r="AN282" s="46">
        <v>21</v>
      </c>
      <c r="AO282" s="46">
        <f t="shared" si="46"/>
        <v>0</v>
      </c>
      <c r="AP282" s="46">
        <f t="shared" si="47"/>
        <v>0</v>
      </c>
      <c r="AQ282" s="42" t="s">
        <v>1648</v>
      </c>
      <c r="AV282" s="46">
        <f t="shared" si="38"/>
        <v>0</v>
      </c>
      <c r="AW282" s="46">
        <f t="shared" si="39"/>
        <v>0</v>
      </c>
      <c r="AX282" s="46">
        <f t="shared" si="40"/>
        <v>0</v>
      </c>
      <c r="AY282" s="42" t="s">
        <v>132</v>
      </c>
      <c r="AZ282" s="42" t="s">
        <v>595</v>
      </c>
      <c r="BA282" s="1" t="s">
        <v>1154</v>
      </c>
      <c r="BC282" s="46">
        <f t="shared" si="41"/>
        <v>0</v>
      </c>
      <c r="BD282" s="46">
        <f t="shared" si="42"/>
        <v>0</v>
      </c>
      <c r="BE282" s="46">
        <v>0</v>
      </c>
      <c r="BF282" s="46">
        <f>282</f>
        <v>282</v>
      </c>
      <c r="BH282" s="46">
        <f t="shared" si="43"/>
        <v>0</v>
      </c>
      <c r="BI282" s="46">
        <f t="shared" si="44"/>
        <v>0</v>
      </c>
      <c r="BJ282" s="46">
        <f t="shared" si="45"/>
        <v>0</v>
      </c>
      <c r="BK282" s="46"/>
      <c r="BL282" s="46">
        <v>89</v>
      </c>
    </row>
    <row r="283" spans="1:64" ht="15" customHeight="1">
      <c r="A283" s="52" t="s">
        <v>289</v>
      </c>
      <c r="B283" s="43" t="s">
        <v>141</v>
      </c>
      <c r="C283" s="43" t="s">
        <v>1525</v>
      </c>
      <c r="D283" s="61" t="s">
        <v>1249</v>
      </c>
      <c r="E283" s="61"/>
      <c r="F283" s="61"/>
      <c r="G283" s="61"/>
      <c r="H283" s="43" t="s">
        <v>392</v>
      </c>
      <c r="I283" s="46">
        <v>40</v>
      </c>
      <c r="J283" s="46">
        <v>0</v>
      </c>
      <c r="K283" s="46">
        <f t="shared" si="24"/>
        <v>0</v>
      </c>
      <c r="L283" s="46">
        <f t="shared" si="25"/>
        <v>0</v>
      </c>
      <c r="M283" s="46">
        <f t="shared" si="26"/>
        <v>0</v>
      </c>
      <c r="N283" s="46">
        <v>0.0085</v>
      </c>
      <c r="O283" s="6" t="s">
        <v>1149</v>
      </c>
      <c r="Z283" s="46">
        <f t="shared" si="27"/>
        <v>0</v>
      </c>
      <c r="AB283" s="46">
        <f t="shared" si="28"/>
        <v>0</v>
      </c>
      <c r="AC283" s="46">
        <f t="shared" si="29"/>
        <v>0</v>
      </c>
      <c r="AD283" s="46">
        <f t="shared" si="30"/>
        <v>0</v>
      </c>
      <c r="AE283" s="46">
        <f t="shared" si="31"/>
        <v>0</v>
      </c>
      <c r="AF283" s="46">
        <f t="shared" si="32"/>
        <v>0</v>
      </c>
      <c r="AG283" s="46">
        <f t="shared" si="33"/>
        <v>0</v>
      </c>
      <c r="AH283" s="46">
        <f t="shared" si="34"/>
        <v>0</v>
      </c>
      <c r="AI283" s="1" t="s">
        <v>141</v>
      </c>
      <c r="AJ283" s="46">
        <f t="shared" si="35"/>
        <v>0</v>
      </c>
      <c r="AK283" s="46">
        <f t="shared" si="36"/>
        <v>0</v>
      </c>
      <c r="AL283" s="46">
        <f t="shared" si="37"/>
        <v>0</v>
      </c>
      <c r="AN283" s="46">
        <v>21</v>
      </c>
      <c r="AO283" s="46">
        <f t="shared" si="46"/>
        <v>0</v>
      </c>
      <c r="AP283" s="46">
        <f t="shared" si="47"/>
        <v>0</v>
      </c>
      <c r="AQ283" s="42" t="s">
        <v>1648</v>
      </c>
      <c r="AV283" s="46">
        <f t="shared" si="38"/>
        <v>0</v>
      </c>
      <c r="AW283" s="46">
        <f t="shared" si="39"/>
        <v>0</v>
      </c>
      <c r="AX283" s="46">
        <f t="shared" si="40"/>
        <v>0</v>
      </c>
      <c r="AY283" s="42" t="s">
        <v>132</v>
      </c>
      <c r="AZ283" s="42" t="s">
        <v>595</v>
      </c>
      <c r="BA283" s="1" t="s">
        <v>1154</v>
      </c>
      <c r="BC283" s="46">
        <f t="shared" si="41"/>
        <v>0</v>
      </c>
      <c r="BD283" s="46">
        <f t="shared" si="42"/>
        <v>0</v>
      </c>
      <c r="BE283" s="46">
        <v>0</v>
      </c>
      <c r="BF283" s="46">
        <f>283</f>
        <v>283</v>
      </c>
      <c r="BH283" s="46">
        <f t="shared" si="43"/>
        <v>0</v>
      </c>
      <c r="BI283" s="46">
        <f t="shared" si="44"/>
        <v>0</v>
      </c>
      <c r="BJ283" s="46">
        <f t="shared" si="45"/>
        <v>0</v>
      </c>
      <c r="BK283" s="46"/>
      <c r="BL283" s="46">
        <v>89</v>
      </c>
    </row>
    <row r="284" spans="1:64" ht="15" customHeight="1">
      <c r="A284" s="52" t="s">
        <v>356</v>
      </c>
      <c r="B284" s="43" t="s">
        <v>141</v>
      </c>
      <c r="C284" s="43" t="s">
        <v>524</v>
      </c>
      <c r="D284" s="61" t="s">
        <v>1165</v>
      </c>
      <c r="E284" s="61"/>
      <c r="F284" s="61"/>
      <c r="G284" s="61"/>
      <c r="H284" s="43" t="s">
        <v>392</v>
      </c>
      <c r="I284" s="46">
        <v>40</v>
      </c>
      <c r="J284" s="46">
        <v>0</v>
      </c>
      <c r="K284" s="46">
        <f t="shared" si="24"/>
        <v>0</v>
      </c>
      <c r="L284" s="46">
        <f t="shared" si="25"/>
        <v>0</v>
      </c>
      <c r="M284" s="46">
        <f t="shared" si="26"/>
        <v>0</v>
      </c>
      <c r="N284" s="46">
        <v>0.00936</v>
      </c>
      <c r="O284" s="6" t="s">
        <v>1149</v>
      </c>
      <c r="Z284" s="46">
        <f t="shared" si="27"/>
        <v>0</v>
      </c>
      <c r="AB284" s="46">
        <f t="shared" si="28"/>
        <v>0</v>
      </c>
      <c r="AC284" s="46">
        <f t="shared" si="29"/>
        <v>0</v>
      </c>
      <c r="AD284" s="46">
        <f t="shared" si="30"/>
        <v>0</v>
      </c>
      <c r="AE284" s="46">
        <f t="shared" si="31"/>
        <v>0</v>
      </c>
      <c r="AF284" s="46">
        <f t="shared" si="32"/>
        <v>0</v>
      </c>
      <c r="AG284" s="46">
        <f t="shared" si="33"/>
        <v>0</v>
      </c>
      <c r="AH284" s="46">
        <f t="shared" si="34"/>
        <v>0</v>
      </c>
      <c r="AI284" s="1" t="s">
        <v>141</v>
      </c>
      <c r="AJ284" s="46">
        <f t="shared" si="35"/>
        <v>0</v>
      </c>
      <c r="AK284" s="46">
        <f t="shared" si="36"/>
        <v>0</v>
      </c>
      <c r="AL284" s="46">
        <f t="shared" si="37"/>
        <v>0</v>
      </c>
      <c r="AN284" s="46">
        <v>21</v>
      </c>
      <c r="AO284" s="46">
        <f>J284*0.0120971074380165</f>
        <v>0</v>
      </c>
      <c r="AP284" s="46">
        <f>J284*(1-0.0120971074380165)</f>
        <v>0</v>
      </c>
      <c r="AQ284" s="42" t="s">
        <v>1648</v>
      </c>
      <c r="AV284" s="46">
        <f t="shared" si="38"/>
        <v>0</v>
      </c>
      <c r="AW284" s="46">
        <f t="shared" si="39"/>
        <v>0</v>
      </c>
      <c r="AX284" s="46">
        <f t="shared" si="40"/>
        <v>0</v>
      </c>
      <c r="AY284" s="42" t="s">
        <v>132</v>
      </c>
      <c r="AZ284" s="42" t="s">
        <v>595</v>
      </c>
      <c r="BA284" s="1" t="s">
        <v>1154</v>
      </c>
      <c r="BC284" s="46">
        <f t="shared" si="41"/>
        <v>0</v>
      </c>
      <c r="BD284" s="46">
        <f t="shared" si="42"/>
        <v>0</v>
      </c>
      <c r="BE284" s="46">
        <v>0</v>
      </c>
      <c r="BF284" s="46">
        <f>284</f>
        <v>284</v>
      </c>
      <c r="BH284" s="46">
        <f t="shared" si="43"/>
        <v>0</v>
      </c>
      <c r="BI284" s="46">
        <f t="shared" si="44"/>
        <v>0</v>
      </c>
      <c r="BJ284" s="46">
        <f t="shared" si="45"/>
        <v>0</v>
      </c>
      <c r="BK284" s="46"/>
      <c r="BL284" s="46">
        <v>89</v>
      </c>
    </row>
    <row r="285" spans="1:64" ht="15" customHeight="1">
      <c r="A285" s="52" t="s">
        <v>193</v>
      </c>
      <c r="B285" s="43" t="s">
        <v>141</v>
      </c>
      <c r="C285" s="43" t="s">
        <v>1550</v>
      </c>
      <c r="D285" s="61" t="s">
        <v>693</v>
      </c>
      <c r="E285" s="61"/>
      <c r="F285" s="61"/>
      <c r="G285" s="61"/>
      <c r="H285" s="43" t="s">
        <v>392</v>
      </c>
      <c r="I285" s="46">
        <v>40</v>
      </c>
      <c r="J285" s="46">
        <v>0</v>
      </c>
      <c r="K285" s="46">
        <f t="shared" si="24"/>
        <v>0</v>
      </c>
      <c r="L285" s="46">
        <f t="shared" si="25"/>
        <v>0</v>
      </c>
      <c r="M285" s="46">
        <f t="shared" si="26"/>
        <v>0</v>
      </c>
      <c r="N285" s="46">
        <v>0.07</v>
      </c>
      <c r="O285" s="6" t="s">
        <v>1149</v>
      </c>
      <c r="Z285" s="46">
        <f t="shared" si="27"/>
        <v>0</v>
      </c>
      <c r="AB285" s="46">
        <f t="shared" si="28"/>
        <v>0</v>
      </c>
      <c r="AC285" s="46">
        <f t="shared" si="29"/>
        <v>0</v>
      </c>
      <c r="AD285" s="46">
        <f t="shared" si="30"/>
        <v>0</v>
      </c>
      <c r="AE285" s="46">
        <f t="shared" si="31"/>
        <v>0</v>
      </c>
      <c r="AF285" s="46">
        <f t="shared" si="32"/>
        <v>0</v>
      </c>
      <c r="AG285" s="46">
        <f t="shared" si="33"/>
        <v>0</v>
      </c>
      <c r="AH285" s="46">
        <f t="shared" si="34"/>
        <v>0</v>
      </c>
      <c r="AI285" s="1" t="s">
        <v>141</v>
      </c>
      <c r="AJ285" s="46">
        <f t="shared" si="35"/>
        <v>0</v>
      </c>
      <c r="AK285" s="46">
        <f t="shared" si="36"/>
        <v>0</v>
      </c>
      <c r="AL285" s="46">
        <f t="shared" si="37"/>
        <v>0</v>
      </c>
      <c r="AN285" s="46">
        <v>21</v>
      </c>
      <c r="AO285" s="46">
        <f>J285*1</f>
        <v>0</v>
      </c>
      <c r="AP285" s="46">
        <f>J285*(1-1)</f>
        <v>0</v>
      </c>
      <c r="AQ285" s="42" t="s">
        <v>1648</v>
      </c>
      <c r="AV285" s="46">
        <f t="shared" si="38"/>
        <v>0</v>
      </c>
      <c r="AW285" s="46">
        <f t="shared" si="39"/>
        <v>0</v>
      </c>
      <c r="AX285" s="46">
        <f t="shared" si="40"/>
        <v>0</v>
      </c>
      <c r="AY285" s="42" t="s">
        <v>132</v>
      </c>
      <c r="AZ285" s="42" t="s">
        <v>595</v>
      </c>
      <c r="BA285" s="1" t="s">
        <v>1154</v>
      </c>
      <c r="BC285" s="46">
        <f t="shared" si="41"/>
        <v>0</v>
      </c>
      <c r="BD285" s="46">
        <f t="shared" si="42"/>
        <v>0</v>
      </c>
      <c r="BE285" s="46">
        <v>0</v>
      </c>
      <c r="BF285" s="46">
        <f>285</f>
        <v>285</v>
      </c>
      <c r="BH285" s="46">
        <f t="shared" si="43"/>
        <v>0</v>
      </c>
      <c r="BI285" s="46">
        <f t="shared" si="44"/>
        <v>0</v>
      </c>
      <c r="BJ285" s="46">
        <f t="shared" si="45"/>
        <v>0</v>
      </c>
      <c r="BK285" s="46"/>
      <c r="BL285" s="46">
        <v>89</v>
      </c>
    </row>
    <row r="286" spans="1:64" ht="15" customHeight="1">
      <c r="A286" s="52" t="s">
        <v>236</v>
      </c>
      <c r="B286" s="43" t="s">
        <v>141</v>
      </c>
      <c r="C286" s="43" t="s">
        <v>752</v>
      </c>
      <c r="D286" s="61" t="s">
        <v>1008</v>
      </c>
      <c r="E286" s="61"/>
      <c r="F286" s="61"/>
      <c r="G286" s="61"/>
      <c r="H286" s="43" t="s">
        <v>392</v>
      </c>
      <c r="I286" s="46">
        <v>1</v>
      </c>
      <c r="J286" s="46">
        <v>0</v>
      </c>
      <c r="K286" s="46">
        <f t="shared" si="24"/>
        <v>0</v>
      </c>
      <c r="L286" s="46">
        <f t="shared" si="25"/>
        <v>0</v>
      </c>
      <c r="M286" s="46">
        <f t="shared" si="26"/>
        <v>0</v>
      </c>
      <c r="N286" s="46">
        <v>0</v>
      </c>
      <c r="O286" s="6" t="s">
        <v>1149</v>
      </c>
      <c r="Z286" s="46">
        <f t="shared" si="27"/>
        <v>0</v>
      </c>
      <c r="AB286" s="46">
        <f t="shared" si="28"/>
        <v>0</v>
      </c>
      <c r="AC286" s="46">
        <f t="shared" si="29"/>
        <v>0</v>
      </c>
      <c r="AD286" s="46">
        <f t="shared" si="30"/>
        <v>0</v>
      </c>
      <c r="AE286" s="46">
        <f t="shared" si="31"/>
        <v>0</v>
      </c>
      <c r="AF286" s="46">
        <f t="shared" si="32"/>
        <v>0</v>
      </c>
      <c r="AG286" s="46">
        <f t="shared" si="33"/>
        <v>0</v>
      </c>
      <c r="AH286" s="46">
        <f t="shared" si="34"/>
        <v>0</v>
      </c>
      <c r="AI286" s="1" t="s">
        <v>141</v>
      </c>
      <c r="AJ286" s="46">
        <f t="shared" si="35"/>
        <v>0</v>
      </c>
      <c r="AK286" s="46">
        <f t="shared" si="36"/>
        <v>0</v>
      </c>
      <c r="AL286" s="46">
        <f t="shared" si="37"/>
        <v>0</v>
      </c>
      <c r="AN286" s="46">
        <v>21</v>
      </c>
      <c r="AO286" s="46">
        <f>J286*0</f>
        <v>0</v>
      </c>
      <c r="AP286" s="46">
        <f>J286*(1-0)</f>
        <v>0</v>
      </c>
      <c r="AQ286" s="42" t="s">
        <v>1648</v>
      </c>
      <c r="AV286" s="46">
        <f t="shared" si="38"/>
        <v>0</v>
      </c>
      <c r="AW286" s="46">
        <f t="shared" si="39"/>
        <v>0</v>
      </c>
      <c r="AX286" s="46">
        <f t="shared" si="40"/>
        <v>0</v>
      </c>
      <c r="AY286" s="42" t="s">
        <v>132</v>
      </c>
      <c r="AZ286" s="42" t="s">
        <v>595</v>
      </c>
      <c r="BA286" s="1" t="s">
        <v>1154</v>
      </c>
      <c r="BC286" s="46">
        <f t="shared" si="41"/>
        <v>0</v>
      </c>
      <c r="BD286" s="46">
        <f t="shared" si="42"/>
        <v>0</v>
      </c>
      <c r="BE286" s="46">
        <v>0</v>
      </c>
      <c r="BF286" s="46">
        <f>286</f>
        <v>286</v>
      </c>
      <c r="BH286" s="46">
        <f t="shared" si="43"/>
        <v>0</v>
      </c>
      <c r="BI286" s="46">
        <f t="shared" si="44"/>
        <v>0</v>
      </c>
      <c r="BJ286" s="46">
        <f t="shared" si="45"/>
        <v>0</v>
      </c>
      <c r="BK286" s="46"/>
      <c r="BL286" s="46">
        <v>89</v>
      </c>
    </row>
    <row r="287" spans="1:15" ht="15" customHeight="1">
      <c r="A287" s="10"/>
      <c r="D287" s="32" t="s">
        <v>1648</v>
      </c>
      <c r="G287" s="32" t="s">
        <v>1655</v>
      </c>
      <c r="I287" s="58">
        <v>1</v>
      </c>
      <c r="O287" s="30"/>
    </row>
    <row r="288" spans="1:64" ht="15" customHeight="1">
      <c r="A288" s="52" t="s">
        <v>1558</v>
      </c>
      <c r="B288" s="43" t="s">
        <v>141</v>
      </c>
      <c r="C288" s="43" t="s">
        <v>1799</v>
      </c>
      <c r="D288" s="61" t="s">
        <v>688</v>
      </c>
      <c r="E288" s="61"/>
      <c r="F288" s="61"/>
      <c r="G288" s="61"/>
      <c r="H288" s="43" t="s">
        <v>392</v>
      </c>
      <c r="I288" s="46">
        <v>1</v>
      </c>
      <c r="J288" s="46">
        <v>0</v>
      </c>
      <c r="K288" s="46">
        <f>I288*AO288</f>
        <v>0</v>
      </c>
      <c r="L288" s="46">
        <f>I288*AP288</f>
        <v>0</v>
      </c>
      <c r="M288" s="46">
        <f>I288*J288</f>
        <v>0</v>
      </c>
      <c r="N288" s="46">
        <v>3.95</v>
      </c>
      <c r="O288" s="6" t="s">
        <v>1149</v>
      </c>
      <c r="Z288" s="46">
        <f>IF(AQ288="5",BJ288,0)</f>
        <v>0</v>
      </c>
      <c r="AB288" s="46">
        <f>IF(AQ288="1",BH288,0)</f>
        <v>0</v>
      </c>
      <c r="AC288" s="46">
        <f>IF(AQ288="1",BI288,0)</f>
        <v>0</v>
      </c>
      <c r="AD288" s="46">
        <f>IF(AQ288="7",BH288,0)</f>
        <v>0</v>
      </c>
      <c r="AE288" s="46">
        <f>IF(AQ288="7",BI288,0)</f>
        <v>0</v>
      </c>
      <c r="AF288" s="46">
        <f>IF(AQ288="2",BH288,0)</f>
        <v>0</v>
      </c>
      <c r="AG288" s="46">
        <f>IF(AQ288="2",BI288,0)</f>
        <v>0</v>
      </c>
      <c r="AH288" s="46">
        <f>IF(AQ288="0",BJ288,0)</f>
        <v>0</v>
      </c>
      <c r="AI288" s="1" t="s">
        <v>141</v>
      </c>
      <c r="AJ288" s="46">
        <f>IF(AN288=0,M288,0)</f>
        <v>0</v>
      </c>
      <c r="AK288" s="46">
        <f>IF(AN288=15,M288,0)</f>
        <v>0</v>
      </c>
      <c r="AL288" s="46">
        <f>IF(AN288=21,M288,0)</f>
        <v>0</v>
      </c>
      <c r="AN288" s="46">
        <v>21</v>
      </c>
      <c r="AO288" s="46">
        <f>J288*1</f>
        <v>0</v>
      </c>
      <c r="AP288" s="46">
        <f>J288*(1-1)</f>
        <v>0</v>
      </c>
      <c r="AQ288" s="42" t="s">
        <v>1648</v>
      </c>
      <c r="AV288" s="46">
        <f>AW288+AX288</f>
        <v>0</v>
      </c>
      <c r="AW288" s="46">
        <f>I288*AO288</f>
        <v>0</v>
      </c>
      <c r="AX288" s="46">
        <f>I288*AP288</f>
        <v>0</v>
      </c>
      <c r="AY288" s="42" t="s">
        <v>132</v>
      </c>
      <c r="AZ288" s="42" t="s">
        <v>595</v>
      </c>
      <c r="BA288" s="1" t="s">
        <v>1154</v>
      </c>
      <c r="BC288" s="46">
        <f>AW288+AX288</f>
        <v>0</v>
      </c>
      <c r="BD288" s="46">
        <f>J288/(100-BE288)*100</f>
        <v>0</v>
      </c>
      <c r="BE288" s="46">
        <v>0</v>
      </c>
      <c r="BF288" s="46">
        <f>288</f>
        <v>288</v>
      </c>
      <c r="BH288" s="46">
        <f>I288*AO288</f>
        <v>0</v>
      </c>
      <c r="BI288" s="46">
        <f>I288*AP288</f>
        <v>0</v>
      </c>
      <c r="BJ288" s="46">
        <f>I288*J288</f>
        <v>0</v>
      </c>
      <c r="BK288" s="46"/>
      <c r="BL288" s="46">
        <v>89</v>
      </c>
    </row>
    <row r="289" spans="1:15" ht="15" customHeight="1">
      <c r="A289" s="10"/>
      <c r="D289" s="32" t="s">
        <v>1648</v>
      </c>
      <c r="G289" s="32" t="s">
        <v>1262</v>
      </c>
      <c r="I289" s="58">
        <v>1</v>
      </c>
      <c r="O289" s="30"/>
    </row>
    <row r="290" spans="1:64" ht="15" customHeight="1">
      <c r="A290" s="52" t="s">
        <v>1225</v>
      </c>
      <c r="B290" s="43" t="s">
        <v>141</v>
      </c>
      <c r="C290" s="43" t="s">
        <v>21</v>
      </c>
      <c r="D290" s="61" t="s">
        <v>1037</v>
      </c>
      <c r="E290" s="61"/>
      <c r="F290" s="61"/>
      <c r="G290" s="61"/>
      <c r="H290" s="43" t="s">
        <v>392</v>
      </c>
      <c r="I290" s="46">
        <v>3</v>
      </c>
      <c r="J290" s="46">
        <v>0</v>
      </c>
      <c r="K290" s="46">
        <f>I290*AO290</f>
        <v>0</v>
      </c>
      <c r="L290" s="46">
        <f>I290*AP290</f>
        <v>0</v>
      </c>
      <c r="M290" s="46">
        <f>I290*J290</f>
        <v>0</v>
      </c>
      <c r="N290" s="46">
        <v>0.0132</v>
      </c>
      <c r="O290" s="6" t="s">
        <v>1149</v>
      </c>
      <c r="Z290" s="46">
        <f>IF(AQ290="5",BJ290,0)</f>
        <v>0</v>
      </c>
      <c r="AB290" s="46">
        <f>IF(AQ290="1",BH290,0)</f>
        <v>0</v>
      </c>
      <c r="AC290" s="46">
        <f>IF(AQ290="1",BI290,0)</f>
        <v>0</v>
      </c>
      <c r="AD290" s="46">
        <f>IF(AQ290="7",BH290,0)</f>
        <v>0</v>
      </c>
      <c r="AE290" s="46">
        <f>IF(AQ290="7",BI290,0)</f>
        <v>0</v>
      </c>
      <c r="AF290" s="46">
        <f>IF(AQ290="2",BH290,0)</f>
        <v>0</v>
      </c>
      <c r="AG290" s="46">
        <f>IF(AQ290="2",BI290,0)</f>
        <v>0</v>
      </c>
      <c r="AH290" s="46">
        <f>IF(AQ290="0",BJ290,0)</f>
        <v>0</v>
      </c>
      <c r="AI290" s="1" t="s">
        <v>141</v>
      </c>
      <c r="AJ290" s="46">
        <f>IF(AN290=0,M290,0)</f>
        <v>0</v>
      </c>
      <c r="AK290" s="46">
        <f>IF(AN290=15,M290,0)</f>
        <v>0</v>
      </c>
      <c r="AL290" s="46">
        <f>IF(AN290=21,M290,0)</f>
        <v>0</v>
      </c>
      <c r="AN290" s="46">
        <v>21</v>
      </c>
      <c r="AO290" s="46">
        <f>J290*0.283358942464818</f>
        <v>0</v>
      </c>
      <c r="AP290" s="46">
        <f>J290*(1-0.283358942464818)</f>
        <v>0</v>
      </c>
      <c r="AQ290" s="42" t="s">
        <v>1648</v>
      </c>
      <c r="AV290" s="46">
        <f>AW290+AX290</f>
        <v>0</v>
      </c>
      <c r="AW290" s="46">
        <f>I290*AO290</f>
        <v>0</v>
      </c>
      <c r="AX290" s="46">
        <f>I290*AP290</f>
        <v>0</v>
      </c>
      <c r="AY290" s="42" t="s">
        <v>132</v>
      </c>
      <c r="AZ290" s="42" t="s">
        <v>595</v>
      </c>
      <c r="BA290" s="1" t="s">
        <v>1154</v>
      </c>
      <c r="BC290" s="46">
        <f>AW290+AX290</f>
        <v>0</v>
      </c>
      <c r="BD290" s="46">
        <f>J290/(100-BE290)*100</f>
        <v>0</v>
      </c>
      <c r="BE290" s="46">
        <v>0</v>
      </c>
      <c r="BF290" s="46">
        <f>290</f>
        <v>290</v>
      </c>
      <c r="BH290" s="46">
        <f>I290*AO290</f>
        <v>0</v>
      </c>
      <c r="BI290" s="46">
        <f>I290*AP290</f>
        <v>0</v>
      </c>
      <c r="BJ290" s="46">
        <f>I290*J290</f>
        <v>0</v>
      </c>
      <c r="BK290" s="46"/>
      <c r="BL290" s="46">
        <v>89</v>
      </c>
    </row>
    <row r="291" spans="1:15" ht="15" customHeight="1">
      <c r="A291" s="10"/>
      <c r="D291" s="32" t="s">
        <v>1697</v>
      </c>
      <c r="G291" s="32" t="s">
        <v>1036</v>
      </c>
      <c r="I291" s="58">
        <v>3.0000000000000004</v>
      </c>
      <c r="O291" s="30"/>
    </row>
    <row r="292" spans="1:47" ht="15" customHeight="1">
      <c r="A292" s="3" t="s">
        <v>1163</v>
      </c>
      <c r="B292" s="9" t="s">
        <v>141</v>
      </c>
      <c r="C292" s="9" t="s">
        <v>74</v>
      </c>
      <c r="D292" s="64" t="s">
        <v>588</v>
      </c>
      <c r="E292" s="64"/>
      <c r="F292" s="64"/>
      <c r="G292" s="64"/>
      <c r="H292" s="41" t="s">
        <v>1537</v>
      </c>
      <c r="I292" s="41" t="s">
        <v>1537</v>
      </c>
      <c r="J292" s="41" t="s">
        <v>1537</v>
      </c>
      <c r="K292" s="50">
        <f>SUM(K293:K293)</f>
        <v>0</v>
      </c>
      <c r="L292" s="50">
        <f>SUM(L293:L293)</f>
        <v>0</v>
      </c>
      <c r="M292" s="50">
        <f>SUM(M293:M293)</f>
        <v>0</v>
      </c>
      <c r="N292" s="1" t="s">
        <v>1163</v>
      </c>
      <c r="O292" s="45" t="s">
        <v>1163</v>
      </c>
      <c r="AI292" s="1" t="s">
        <v>141</v>
      </c>
      <c r="AS292" s="50">
        <f>SUM(AJ293:AJ293)</f>
        <v>0</v>
      </c>
      <c r="AT292" s="50">
        <f>SUM(AK293:AK293)</f>
        <v>0</v>
      </c>
      <c r="AU292" s="50">
        <f>SUM(AL293:AL293)</f>
        <v>0</v>
      </c>
    </row>
    <row r="293" spans="1:64" ht="15" customHeight="1">
      <c r="A293" s="52" t="s">
        <v>785</v>
      </c>
      <c r="B293" s="43" t="s">
        <v>141</v>
      </c>
      <c r="C293" s="43" t="s">
        <v>1284</v>
      </c>
      <c r="D293" s="61" t="s">
        <v>1015</v>
      </c>
      <c r="E293" s="61"/>
      <c r="F293" s="61"/>
      <c r="G293" s="61"/>
      <c r="H293" s="43" t="s">
        <v>1365</v>
      </c>
      <c r="I293" s="46">
        <v>937.2</v>
      </c>
      <c r="J293" s="46">
        <v>0</v>
      </c>
      <c r="K293" s="46">
        <f>I293*AO293</f>
        <v>0</v>
      </c>
      <c r="L293" s="46">
        <f>I293*AP293</f>
        <v>0</v>
      </c>
      <c r="M293" s="46">
        <f>I293*J293</f>
        <v>0</v>
      </c>
      <c r="N293" s="46">
        <v>0</v>
      </c>
      <c r="O293" s="6" t="s">
        <v>1149</v>
      </c>
      <c r="Z293" s="46">
        <f>IF(AQ293="5",BJ293,0)</f>
        <v>0</v>
      </c>
      <c r="AB293" s="46">
        <f>IF(AQ293="1",BH293,0)</f>
        <v>0</v>
      </c>
      <c r="AC293" s="46">
        <f>IF(AQ293="1",BI293,0)</f>
        <v>0</v>
      </c>
      <c r="AD293" s="46">
        <f>IF(AQ293="7",BH293,0)</f>
        <v>0</v>
      </c>
      <c r="AE293" s="46">
        <f>IF(AQ293="7",BI293,0)</f>
        <v>0</v>
      </c>
      <c r="AF293" s="46">
        <f>IF(AQ293="2",BH293,0)</f>
        <v>0</v>
      </c>
      <c r="AG293" s="46">
        <f>IF(AQ293="2",BI293,0)</f>
        <v>0</v>
      </c>
      <c r="AH293" s="46">
        <f>IF(AQ293="0",BJ293,0)</f>
        <v>0</v>
      </c>
      <c r="AI293" s="1" t="s">
        <v>141</v>
      </c>
      <c r="AJ293" s="46">
        <f>IF(AN293=0,M293,0)</f>
        <v>0</v>
      </c>
      <c r="AK293" s="46">
        <f>IF(AN293=15,M293,0)</f>
        <v>0</v>
      </c>
      <c r="AL293" s="46">
        <f>IF(AN293=21,M293,0)</f>
        <v>0</v>
      </c>
      <c r="AN293" s="46">
        <v>21</v>
      </c>
      <c r="AO293" s="46">
        <f>J293*0.575753891205813</f>
        <v>0</v>
      </c>
      <c r="AP293" s="46">
        <f>J293*(1-0.575753891205813)</f>
        <v>0</v>
      </c>
      <c r="AQ293" s="42" t="s">
        <v>1648</v>
      </c>
      <c r="AV293" s="46">
        <f>AW293+AX293</f>
        <v>0</v>
      </c>
      <c r="AW293" s="46">
        <f>I293*AO293</f>
        <v>0</v>
      </c>
      <c r="AX293" s="46">
        <f>I293*AP293</f>
        <v>0</v>
      </c>
      <c r="AY293" s="42" t="s">
        <v>1616</v>
      </c>
      <c r="AZ293" s="42" t="s">
        <v>570</v>
      </c>
      <c r="BA293" s="1" t="s">
        <v>1154</v>
      </c>
      <c r="BC293" s="46">
        <f>AW293+AX293</f>
        <v>0</v>
      </c>
      <c r="BD293" s="46">
        <f>J293/(100-BE293)*100</f>
        <v>0</v>
      </c>
      <c r="BE293" s="46">
        <v>0</v>
      </c>
      <c r="BF293" s="46">
        <f>293</f>
        <v>293</v>
      </c>
      <c r="BH293" s="46">
        <f>I293*AO293</f>
        <v>0</v>
      </c>
      <c r="BI293" s="46">
        <f>I293*AP293</f>
        <v>0</v>
      </c>
      <c r="BJ293" s="46">
        <f>I293*J293</f>
        <v>0</v>
      </c>
      <c r="BK293" s="46"/>
      <c r="BL293" s="46">
        <v>91</v>
      </c>
    </row>
    <row r="294" spans="1:15" ht="15" customHeight="1">
      <c r="A294" s="10"/>
      <c r="D294" s="32" t="s">
        <v>571</v>
      </c>
      <c r="G294" s="32" t="s">
        <v>820</v>
      </c>
      <c r="I294" s="58">
        <v>937.2</v>
      </c>
      <c r="O294" s="30"/>
    </row>
    <row r="295" spans="1:47" ht="15" customHeight="1">
      <c r="A295" s="3" t="s">
        <v>1163</v>
      </c>
      <c r="B295" s="9" t="s">
        <v>141</v>
      </c>
      <c r="C295" s="9" t="s">
        <v>925</v>
      </c>
      <c r="D295" s="64" t="s">
        <v>1246</v>
      </c>
      <c r="E295" s="64"/>
      <c r="F295" s="64"/>
      <c r="G295" s="64"/>
      <c r="H295" s="41" t="s">
        <v>1537</v>
      </c>
      <c r="I295" s="41" t="s">
        <v>1537</v>
      </c>
      <c r="J295" s="41" t="s">
        <v>1537</v>
      </c>
      <c r="K295" s="50">
        <f>SUM(K296:K298)</f>
        <v>0</v>
      </c>
      <c r="L295" s="50">
        <f>SUM(L296:L298)</f>
        <v>0</v>
      </c>
      <c r="M295" s="50">
        <f>SUM(M296:M298)</f>
        <v>0</v>
      </c>
      <c r="N295" s="1" t="s">
        <v>1163</v>
      </c>
      <c r="O295" s="45" t="s">
        <v>1163</v>
      </c>
      <c r="AI295" s="1" t="s">
        <v>141</v>
      </c>
      <c r="AS295" s="50">
        <f>SUM(AJ296:AJ298)</f>
        <v>0</v>
      </c>
      <c r="AT295" s="50">
        <f>SUM(AK296:AK298)</f>
        <v>0</v>
      </c>
      <c r="AU295" s="50">
        <f>SUM(AL296:AL298)</f>
        <v>0</v>
      </c>
    </row>
    <row r="296" spans="1:64" ht="15" customHeight="1">
      <c r="A296" s="52" t="s">
        <v>1224</v>
      </c>
      <c r="B296" s="43" t="s">
        <v>141</v>
      </c>
      <c r="C296" s="43" t="s">
        <v>258</v>
      </c>
      <c r="D296" s="61" t="s">
        <v>40</v>
      </c>
      <c r="E296" s="61"/>
      <c r="F296" s="61"/>
      <c r="G296" s="61"/>
      <c r="H296" s="43" t="s">
        <v>1604</v>
      </c>
      <c r="I296" s="46">
        <v>1.197</v>
      </c>
      <c r="J296" s="46">
        <v>0</v>
      </c>
      <c r="K296" s="46">
        <f>I296*AO296</f>
        <v>0</v>
      </c>
      <c r="L296" s="46">
        <f>I296*AP296</f>
        <v>0</v>
      </c>
      <c r="M296" s="46">
        <f>I296*J296</f>
        <v>0</v>
      </c>
      <c r="N296" s="46">
        <v>0.00233</v>
      </c>
      <c r="O296" s="6" t="s">
        <v>1149</v>
      </c>
      <c r="Z296" s="46">
        <f>IF(AQ296="5",BJ296,0)</f>
        <v>0</v>
      </c>
      <c r="AB296" s="46">
        <f>IF(AQ296="1",BH296,0)</f>
        <v>0</v>
      </c>
      <c r="AC296" s="46">
        <f>IF(AQ296="1",BI296,0)</f>
        <v>0</v>
      </c>
      <c r="AD296" s="46">
        <f>IF(AQ296="7",BH296,0)</f>
        <v>0</v>
      </c>
      <c r="AE296" s="46">
        <f>IF(AQ296="7",BI296,0)</f>
        <v>0</v>
      </c>
      <c r="AF296" s="46">
        <f>IF(AQ296="2",BH296,0)</f>
        <v>0</v>
      </c>
      <c r="AG296" s="46">
        <f>IF(AQ296="2",BI296,0)</f>
        <v>0</v>
      </c>
      <c r="AH296" s="46">
        <f>IF(AQ296="0",BJ296,0)</f>
        <v>0</v>
      </c>
      <c r="AI296" s="1" t="s">
        <v>141</v>
      </c>
      <c r="AJ296" s="46">
        <f>IF(AN296=0,M296,0)</f>
        <v>0</v>
      </c>
      <c r="AK296" s="46">
        <f>IF(AN296=15,M296,0)</f>
        <v>0</v>
      </c>
      <c r="AL296" s="46">
        <f>IF(AN296=21,M296,0)</f>
        <v>0</v>
      </c>
      <c r="AN296" s="46">
        <v>21</v>
      </c>
      <c r="AO296" s="46">
        <f>J296*0.0697739448342382</f>
        <v>0</v>
      </c>
      <c r="AP296" s="46">
        <f>J296*(1-0.0697739448342382)</f>
        <v>0</v>
      </c>
      <c r="AQ296" s="42" t="s">
        <v>1648</v>
      </c>
      <c r="AV296" s="46">
        <f>AW296+AX296</f>
        <v>0</v>
      </c>
      <c r="AW296" s="46">
        <f>I296*AO296</f>
        <v>0</v>
      </c>
      <c r="AX296" s="46">
        <f>I296*AP296</f>
        <v>0</v>
      </c>
      <c r="AY296" s="42" t="s">
        <v>1457</v>
      </c>
      <c r="AZ296" s="42" t="s">
        <v>570</v>
      </c>
      <c r="BA296" s="1" t="s">
        <v>1154</v>
      </c>
      <c r="BC296" s="46">
        <f>AW296+AX296</f>
        <v>0</v>
      </c>
      <c r="BD296" s="46">
        <f>J296/(100-BE296)*100</f>
        <v>0</v>
      </c>
      <c r="BE296" s="46">
        <v>0</v>
      </c>
      <c r="BF296" s="46">
        <f>296</f>
        <v>296</v>
      </c>
      <c r="BH296" s="46">
        <f>I296*AO296</f>
        <v>0</v>
      </c>
      <c r="BI296" s="46">
        <f>I296*AP296</f>
        <v>0</v>
      </c>
      <c r="BJ296" s="46">
        <f>I296*J296</f>
        <v>0</v>
      </c>
      <c r="BK296" s="46"/>
      <c r="BL296" s="46">
        <v>96</v>
      </c>
    </row>
    <row r="297" spans="1:15" ht="15" customHeight="1">
      <c r="A297" s="10"/>
      <c r="D297" s="32" t="s">
        <v>834</v>
      </c>
      <c r="G297" s="32" t="s">
        <v>1600</v>
      </c>
      <c r="I297" s="58">
        <v>1.197</v>
      </c>
      <c r="O297" s="30"/>
    </row>
    <row r="298" spans="1:64" ht="15" customHeight="1">
      <c r="A298" s="52" t="s">
        <v>531</v>
      </c>
      <c r="B298" s="43" t="s">
        <v>141</v>
      </c>
      <c r="C298" s="43" t="s">
        <v>879</v>
      </c>
      <c r="D298" s="61" t="s">
        <v>309</v>
      </c>
      <c r="E298" s="61"/>
      <c r="F298" s="61"/>
      <c r="G298" s="61"/>
      <c r="H298" s="43" t="s">
        <v>749</v>
      </c>
      <c r="I298" s="46">
        <v>4.8319</v>
      </c>
      <c r="J298" s="46">
        <v>0</v>
      </c>
      <c r="K298" s="46">
        <f>I298*AO298</f>
        <v>0</v>
      </c>
      <c r="L298" s="46">
        <f>I298*AP298</f>
        <v>0</v>
      </c>
      <c r="M298" s="46">
        <f>I298*J298</f>
        <v>0</v>
      </c>
      <c r="N298" s="46">
        <v>0</v>
      </c>
      <c r="O298" s="6" t="s">
        <v>1149</v>
      </c>
      <c r="Z298" s="46">
        <f>IF(AQ298="5",BJ298,0)</f>
        <v>0</v>
      </c>
      <c r="AB298" s="46">
        <f>IF(AQ298="1",BH298,0)</f>
        <v>0</v>
      </c>
      <c r="AC298" s="46">
        <f>IF(AQ298="1",BI298,0)</f>
        <v>0</v>
      </c>
      <c r="AD298" s="46">
        <f>IF(AQ298="7",BH298,0)</f>
        <v>0</v>
      </c>
      <c r="AE298" s="46">
        <f>IF(AQ298="7",BI298,0)</f>
        <v>0</v>
      </c>
      <c r="AF298" s="46">
        <f>IF(AQ298="2",BH298,0)</f>
        <v>0</v>
      </c>
      <c r="AG298" s="46">
        <f>IF(AQ298="2",BI298,0)</f>
        <v>0</v>
      </c>
      <c r="AH298" s="46">
        <f>IF(AQ298="0",BJ298,0)</f>
        <v>0</v>
      </c>
      <c r="AI298" s="1" t="s">
        <v>141</v>
      </c>
      <c r="AJ298" s="46">
        <f>IF(AN298=0,M298,0)</f>
        <v>0</v>
      </c>
      <c r="AK298" s="46">
        <f>IF(AN298=15,M298,0)</f>
        <v>0</v>
      </c>
      <c r="AL298" s="46">
        <f>IF(AN298=21,M298,0)</f>
        <v>0</v>
      </c>
      <c r="AN298" s="46">
        <v>21</v>
      </c>
      <c r="AO298" s="46">
        <f>J298*0</f>
        <v>0</v>
      </c>
      <c r="AP298" s="46">
        <f>J298*(1-0)</f>
        <v>0</v>
      </c>
      <c r="AQ298" s="42" t="s">
        <v>880</v>
      </c>
      <c r="AV298" s="46">
        <f>AW298+AX298</f>
        <v>0</v>
      </c>
      <c r="AW298" s="46">
        <f>I298*AO298</f>
        <v>0</v>
      </c>
      <c r="AX298" s="46">
        <f>I298*AP298</f>
        <v>0</v>
      </c>
      <c r="AY298" s="42" t="s">
        <v>1457</v>
      </c>
      <c r="AZ298" s="42" t="s">
        <v>570</v>
      </c>
      <c r="BA298" s="1" t="s">
        <v>1154</v>
      </c>
      <c r="BC298" s="46">
        <f>AW298+AX298</f>
        <v>0</v>
      </c>
      <c r="BD298" s="46">
        <f>J298/(100-BE298)*100</f>
        <v>0</v>
      </c>
      <c r="BE298" s="46">
        <v>0</v>
      </c>
      <c r="BF298" s="46">
        <f>298</f>
        <v>298</v>
      </c>
      <c r="BH298" s="46">
        <f>I298*AO298</f>
        <v>0</v>
      </c>
      <c r="BI298" s="46">
        <f>I298*AP298</f>
        <v>0</v>
      </c>
      <c r="BJ298" s="46">
        <f>I298*J298</f>
        <v>0</v>
      </c>
      <c r="BK298" s="46"/>
      <c r="BL298" s="46">
        <v>96</v>
      </c>
    </row>
    <row r="299" spans="1:15" ht="15" customHeight="1">
      <c r="A299" s="10"/>
      <c r="D299" s="32" t="s">
        <v>1368</v>
      </c>
      <c r="G299" s="32" t="s">
        <v>1665</v>
      </c>
      <c r="I299" s="58">
        <v>3.2319000000000004</v>
      </c>
      <c r="O299" s="30"/>
    </row>
    <row r="300" spans="1:15" ht="15" customHeight="1">
      <c r="A300" s="10"/>
      <c r="D300" s="32" t="s">
        <v>1569</v>
      </c>
      <c r="G300" s="32" t="s">
        <v>1760</v>
      </c>
      <c r="I300" s="58">
        <v>1.6</v>
      </c>
      <c r="O300" s="30"/>
    </row>
    <row r="301" spans="1:47" ht="15" customHeight="1">
      <c r="A301" s="3" t="s">
        <v>1163</v>
      </c>
      <c r="B301" s="9" t="s">
        <v>141</v>
      </c>
      <c r="C301" s="9" t="s">
        <v>192</v>
      </c>
      <c r="D301" s="64" t="s">
        <v>1836</v>
      </c>
      <c r="E301" s="64"/>
      <c r="F301" s="64"/>
      <c r="G301" s="64"/>
      <c r="H301" s="41" t="s">
        <v>1537</v>
      </c>
      <c r="I301" s="41" t="s">
        <v>1537</v>
      </c>
      <c r="J301" s="41" t="s">
        <v>1537</v>
      </c>
      <c r="K301" s="50">
        <f>SUM(K302:K304)</f>
        <v>0</v>
      </c>
      <c r="L301" s="50">
        <f>SUM(L302:L304)</f>
        <v>0</v>
      </c>
      <c r="M301" s="50">
        <f>SUM(M302:M304)</f>
        <v>0</v>
      </c>
      <c r="N301" s="1" t="s">
        <v>1163</v>
      </c>
      <c r="O301" s="45" t="s">
        <v>1163</v>
      </c>
      <c r="AI301" s="1" t="s">
        <v>141</v>
      </c>
      <c r="AS301" s="50">
        <f>SUM(AJ302:AJ304)</f>
        <v>0</v>
      </c>
      <c r="AT301" s="50">
        <f>SUM(AK302:AK304)</f>
        <v>0</v>
      </c>
      <c r="AU301" s="50">
        <f>SUM(AL302:AL304)</f>
        <v>0</v>
      </c>
    </row>
    <row r="302" spans="1:64" ht="15" customHeight="1">
      <c r="A302" s="52" t="s">
        <v>734</v>
      </c>
      <c r="B302" s="43" t="s">
        <v>141</v>
      </c>
      <c r="C302" s="43" t="s">
        <v>1722</v>
      </c>
      <c r="D302" s="61" t="s">
        <v>1283</v>
      </c>
      <c r="E302" s="61"/>
      <c r="F302" s="61"/>
      <c r="G302" s="61"/>
      <c r="H302" s="43" t="s">
        <v>1365</v>
      </c>
      <c r="I302" s="46">
        <v>0.3</v>
      </c>
      <c r="J302" s="46">
        <v>0</v>
      </c>
      <c r="K302" s="46">
        <f>I302*AO302</f>
        <v>0</v>
      </c>
      <c r="L302" s="46">
        <f>I302*AP302</f>
        <v>0</v>
      </c>
      <c r="M302" s="46">
        <f>I302*J302</f>
        <v>0</v>
      </c>
      <c r="N302" s="46">
        <v>0</v>
      </c>
      <c r="O302" s="6" t="s">
        <v>1149</v>
      </c>
      <c r="Z302" s="46">
        <f>IF(AQ302="5",BJ302,0)</f>
        <v>0</v>
      </c>
      <c r="AB302" s="46">
        <f>IF(AQ302="1",BH302,0)</f>
        <v>0</v>
      </c>
      <c r="AC302" s="46">
        <f>IF(AQ302="1",BI302,0)</f>
        <v>0</v>
      </c>
      <c r="AD302" s="46">
        <f>IF(AQ302="7",BH302,0)</f>
        <v>0</v>
      </c>
      <c r="AE302" s="46">
        <f>IF(AQ302="7",BI302,0)</f>
        <v>0</v>
      </c>
      <c r="AF302" s="46">
        <f>IF(AQ302="2",BH302,0)</f>
        <v>0</v>
      </c>
      <c r="AG302" s="46">
        <f>IF(AQ302="2",BI302,0)</f>
        <v>0</v>
      </c>
      <c r="AH302" s="46">
        <f>IF(AQ302="0",BJ302,0)</f>
        <v>0</v>
      </c>
      <c r="AI302" s="1" t="s">
        <v>141</v>
      </c>
      <c r="AJ302" s="46">
        <f>IF(AN302=0,M302,0)</f>
        <v>0</v>
      </c>
      <c r="AK302" s="46">
        <f>IF(AN302=15,M302,0)</f>
        <v>0</v>
      </c>
      <c r="AL302" s="46">
        <f>IF(AN302=21,M302,0)</f>
        <v>0</v>
      </c>
      <c r="AN302" s="46">
        <v>21</v>
      </c>
      <c r="AO302" s="46">
        <f>J302*0.293572713643178</f>
        <v>0</v>
      </c>
      <c r="AP302" s="46">
        <f>J302*(1-0.293572713643178)</f>
        <v>0</v>
      </c>
      <c r="AQ302" s="42" t="s">
        <v>1648</v>
      </c>
      <c r="AV302" s="46">
        <f>AW302+AX302</f>
        <v>0</v>
      </c>
      <c r="AW302" s="46">
        <f>I302*AO302</f>
        <v>0</v>
      </c>
      <c r="AX302" s="46">
        <f>I302*AP302</f>
        <v>0</v>
      </c>
      <c r="AY302" s="42" t="s">
        <v>506</v>
      </c>
      <c r="AZ302" s="42" t="s">
        <v>570</v>
      </c>
      <c r="BA302" s="1" t="s">
        <v>1154</v>
      </c>
      <c r="BC302" s="46">
        <f>AW302+AX302</f>
        <v>0</v>
      </c>
      <c r="BD302" s="46">
        <f>J302/(100-BE302)*100</f>
        <v>0</v>
      </c>
      <c r="BE302" s="46">
        <v>0</v>
      </c>
      <c r="BF302" s="46">
        <f>302</f>
        <v>302</v>
      </c>
      <c r="BH302" s="46">
        <f>I302*AO302</f>
        <v>0</v>
      </c>
      <c r="BI302" s="46">
        <f>I302*AP302</f>
        <v>0</v>
      </c>
      <c r="BJ302" s="46">
        <f>I302*J302</f>
        <v>0</v>
      </c>
      <c r="BK302" s="46"/>
      <c r="BL302" s="46">
        <v>97</v>
      </c>
    </row>
    <row r="303" spans="1:15" ht="15" customHeight="1">
      <c r="A303" s="10"/>
      <c r="D303" s="32" t="s">
        <v>1383</v>
      </c>
      <c r="G303" s="32" t="s">
        <v>828</v>
      </c>
      <c r="I303" s="58">
        <v>0.30000000000000004</v>
      </c>
      <c r="O303" s="30"/>
    </row>
    <row r="304" spans="1:64" ht="15" customHeight="1">
      <c r="A304" s="52" t="s">
        <v>459</v>
      </c>
      <c r="B304" s="43" t="s">
        <v>141</v>
      </c>
      <c r="C304" s="43" t="s">
        <v>479</v>
      </c>
      <c r="D304" s="61" t="s">
        <v>811</v>
      </c>
      <c r="E304" s="61"/>
      <c r="F304" s="61"/>
      <c r="G304" s="61"/>
      <c r="H304" s="43" t="s">
        <v>392</v>
      </c>
      <c r="I304" s="46">
        <v>2</v>
      </c>
      <c r="J304" s="46">
        <v>0</v>
      </c>
      <c r="K304" s="46">
        <f>I304*AO304</f>
        <v>0</v>
      </c>
      <c r="L304" s="46">
        <f>I304*AP304</f>
        <v>0</v>
      </c>
      <c r="M304" s="46">
        <f>I304*J304</f>
        <v>0</v>
      </c>
      <c r="N304" s="46">
        <v>0.00133</v>
      </c>
      <c r="O304" s="6" t="s">
        <v>1149</v>
      </c>
      <c r="Z304" s="46">
        <f>IF(AQ304="5",BJ304,0)</f>
        <v>0</v>
      </c>
      <c r="AB304" s="46">
        <f>IF(AQ304="1",BH304,0)</f>
        <v>0</v>
      </c>
      <c r="AC304" s="46">
        <f>IF(AQ304="1",BI304,0)</f>
        <v>0</v>
      </c>
      <c r="AD304" s="46">
        <f>IF(AQ304="7",BH304,0)</f>
        <v>0</v>
      </c>
      <c r="AE304" s="46">
        <f>IF(AQ304="7",BI304,0)</f>
        <v>0</v>
      </c>
      <c r="AF304" s="46">
        <f>IF(AQ304="2",BH304,0)</f>
        <v>0</v>
      </c>
      <c r="AG304" s="46">
        <f>IF(AQ304="2",BI304,0)</f>
        <v>0</v>
      </c>
      <c r="AH304" s="46">
        <f>IF(AQ304="0",BJ304,0)</f>
        <v>0</v>
      </c>
      <c r="AI304" s="1" t="s">
        <v>141</v>
      </c>
      <c r="AJ304" s="46">
        <f>IF(AN304=0,M304,0)</f>
        <v>0</v>
      </c>
      <c r="AK304" s="46">
        <f>IF(AN304=15,M304,0)</f>
        <v>0</v>
      </c>
      <c r="AL304" s="46">
        <f>IF(AN304=21,M304,0)</f>
        <v>0</v>
      </c>
      <c r="AN304" s="46">
        <v>21</v>
      </c>
      <c r="AO304" s="46">
        <f>J304*0.0389679358717435</f>
        <v>0</v>
      </c>
      <c r="AP304" s="46">
        <f>J304*(1-0.0389679358717435)</f>
        <v>0</v>
      </c>
      <c r="AQ304" s="42" t="s">
        <v>1648</v>
      </c>
      <c r="AV304" s="46">
        <f>AW304+AX304</f>
        <v>0</v>
      </c>
      <c r="AW304" s="46">
        <f>I304*AO304</f>
        <v>0</v>
      </c>
      <c r="AX304" s="46">
        <f>I304*AP304</f>
        <v>0</v>
      </c>
      <c r="AY304" s="42" t="s">
        <v>506</v>
      </c>
      <c r="AZ304" s="42" t="s">
        <v>570</v>
      </c>
      <c r="BA304" s="1" t="s">
        <v>1154</v>
      </c>
      <c r="BC304" s="46">
        <f>AW304+AX304</f>
        <v>0</v>
      </c>
      <c r="BD304" s="46">
        <f>J304/(100-BE304)*100</f>
        <v>0</v>
      </c>
      <c r="BE304" s="46">
        <v>0</v>
      </c>
      <c r="BF304" s="46">
        <f>304</f>
        <v>304</v>
      </c>
      <c r="BH304" s="46">
        <f>I304*AO304</f>
        <v>0</v>
      </c>
      <c r="BI304" s="46">
        <f>I304*AP304</f>
        <v>0</v>
      </c>
      <c r="BJ304" s="46">
        <f>I304*J304</f>
        <v>0</v>
      </c>
      <c r="BK304" s="46"/>
      <c r="BL304" s="46">
        <v>97</v>
      </c>
    </row>
    <row r="305" spans="1:15" ht="15" customHeight="1">
      <c r="A305" s="10"/>
      <c r="D305" s="32" t="s">
        <v>1157</v>
      </c>
      <c r="G305" s="32" t="s">
        <v>1382</v>
      </c>
      <c r="I305" s="58">
        <v>2</v>
      </c>
      <c r="O305" s="30"/>
    </row>
    <row r="306" spans="1:47" ht="15" customHeight="1">
      <c r="A306" s="3" t="s">
        <v>1163</v>
      </c>
      <c r="B306" s="9" t="s">
        <v>141</v>
      </c>
      <c r="C306" s="9" t="s">
        <v>1751</v>
      </c>
      <c r="D306" s="64" t="s">
        <v>1229</v>
      </c>
      <c r="E306" s="64"/>
      <c r="F306" s="64"/>
      <c r="G306" s="64"/>
      <c r="H306" s="41" t="s">
        <v>1537</v>
      </c>
      <c r="I306" s="41" t="s">
        <v>1537</v>
      </c>
      <c r="J306" s="41" t="s">
        <v>1537</v>
      </c>
      <c r="K306" s="50">
        <f>SUM(K307:K318)</f>
        <v>0</v>
      </c>
      <c r="L306" s="50">
        <f>SUM(L307:L318)</f>
        <v>0</v>
      </c>
      <c r="M306" s="50">
        <f>SUM(M307:M318)</f>
        <v>0</v>
      </c>
      <c r="N306" s="1" t="s">
        <v>1163</v>
      </c>
      <c r="O306" s="45" t="s">
        <v>1163</v>
      </c>
      <c r="AI306" s="1" t="s">
        <v>141</v>
      </c>
      <c r="AS306" s="50">
        <f>SUM(AJ307:AJ318)</f>
        <v>0</v>
      </c>
      <c r="AT306" s="50">
        <f>SUM(AK307:AK318)</f>
        <v>0</v>
      </c>
      <c r="AU306" s="50">
        <f>SUM(AL307:AL318)</f>
        <v>0</v>
      </c>
    </row>
    <row r="307" spans="1:64" ht="15" customHeight="1">
      <c r="A307" s="52" t="s">
        <v>425</v>
      </c>
      <c r="B307" s="43" t="s">
        <v>141</v>
      </c>
      <c r="C307" s="43" t="s">
        <v>943</v>
      </c>
      <c r="D307" s="61" t="s">
        <v>618</v>
      </c>
      <c r="E307" s="61"/>
      <c r="F307" s="61"/>
      <c r="G307" s="61"/>
      <c r="H307" s="43" t="s">
        <v>1365</v>
      </c>
      <c r="I307" s="46">
        <v>14</v>
      </c>
      <c r="J307" s="46">
        <v>0</v>
      </c>
      <c r="K307" s="46">
        <f>I307*AO307</f>
        <v>0</v>
      </c>
      <c r="L307" s="46">
        <f>I307*AP307</f>
        <v>0</v>
      </c>
      <c r="M307" s="46">
        <f>I307*J307</f>
        <v>0</v>
      </c>
      <c r="N307" s="46">
        <v>0.02712</v>
      </c>
      <c r="O307" s="6" t="s">
        <v>1149</v>
      </c>
      <c r="Z307" s="46">
        <f>IF(AQ307="5",BJ307,0)</f>
        <v>0</v>
      </c>
      <c r="AB307" s="46">
        <f>IF(AQ307="1",BH307,0)</f>
        <v>0</v>
      </c>
      <c r="AC307" s="46">
        <f>IF(AQ307="1",BI307,0)</f>
        <v>0</v>
      </c>
      <c r="AD307" s="46">
        <f>IF(AQ307="7",BH307,0)</f>
        <v>0</v>
      </c>
      <c r="AE307" s="46">
        <f>IF(AQ307="7",BI307,0)</f>
        <v>0</v>
      </c>
      <c r="AF307" s="46">
        <f>IF(AQ307="2",BH307,0)</f>
        <v>0</v>
      </c>
      <c r="AG307" s="46">
        <f>IF(AQ307="2",BI307,0)</f>
        <v>0</v>
      </c>
      <c r="AH307" s="46">
        <f>IF(AQ307="0",BJ307,0)</f>
        <v>0</v>
      </c>
      <c r="AI307" s="1" t="s">
        <v>141</v>
      </c>
      <c r="AJ307" s="46">
        <f>IF(AN307=0,M307,0)</f>
        <v>0</v>
      </c>
      <c r="AK307" s="46">
        <f>IF(AN307=15,M307,0)</f>
        <v>0</v>
      </c>
      <c r="AL307" s="46">
        <f>IF(AN307=21,M307,0)</f>
        <v>0</v>
      </c>
      <c r="AN307" s="46">
        <v>21</v>
      </c>
      <c r="AO307" s="46">
        <f>J307*0.285292190060076</f>
        <v>0</v>
      </c>
      <c r="AP307" s="46">
        <f>J307*(1-0.285292190060076)</f>
        <v>0</v>
      </c>
      <c r="AQ307" s="42" t="s">
        <v>1157</v>
      </c>
      <c r="AV307" s="46">
        <f>AW307+AX307</f>
        <v>0</v>
      </c>
      <c r="AW307" s="46">
        <f>I307*AO307</f>
        <v>0</v>
      </c>
      <c r="AX307" s="46">
        <f>I307*AP307</f>
        <v>0</v>
      </c>
      <c r="AY307" s="42" t="s">
        <v>1538</v>
      </c>
      <c r="AZ307" s="42" t="s">
        <v>570</v>
      </c>
      <c r="BA307" s="1" t="s">
        <v>1154</v>
      </c>
      <c r="BC307" s="46">
        <f>AW307+AX307</f>
        <v>0</v>
      </c>
      <c r="BD307" s="46">
        <f>J307/(100-BE307)*100</f>
        <v>0</v>
      </c>
      <c r="BE307" s="46">
        <v>0</v>
      </c>
      <c r="BF307" s="46">
        <f>307</f>
        <v>307</v>
      </c>
      <c r="BH307" s="46">
        <f>I307*AO307</f>
        <v>0</v>
      </c>
      <c r="BI307" s="46">
        <f>I307*AP307</f>
        <v>0</v>
      </c>
      <c r="BJ307" s="46">
        <f>I307*J307</f>
        <v>0</v>
      </c>
      <c r="BK307" s="46"/>
      <c r="BL307" s="46"/>
    </row>
    <row r="308" spans="1:64" ht="15" customHeight="1">
      <c r="A308" s="52" t="s">
        <v>1682</v>
      </c>
      <c r="B308" s="43" t="s">
        <v>141</v>
      </c>
      <c r="C308" s="43" t="s">
        <v>1427</v>
      </c>
      <c r="D308" s="61" t="s">
        <v>747</v>
      </c>
      <c r="E308" s="61"/>
      <c r="F308" s="61"/>
      <c r="G308" s="61"/>
      <c r="H308" s="43" t="s">
        <v>392</v>
      </c>
      <c r="I308" s="46">
        <v>2</v>
      </c>
      <c r="J308" s="46">
        <v>0</v>
      </c>
      <c r="K308" s="46">
        <f>I308*AO308</f>
        <v>0</v>
      </c>
      <c r="L308" s="46">
        <f>I308*AP308</f>
        <v>0</v>
      </c>
      <c r="M308" s="46">
        <f>I308*J308</f>
        <v>0</v>
      </c>
      <c r="N308" s="46">
        <v>0</v>
      </c>
      <c r="O308" s="6" t="s">
        <v>1149</v>
      </c>
      <c r="Z308" s="46">
        <f>IF(AQ308="5",BJ308,0)</f>
        <v>0</v>
      </c>
      <c r="AB308" s="46">
        <f>IF(AQ308="1",BH308,0)</f>
        <v>0</v>
      </c>
      <c r="AC308" s="46">
        <f>IF(AQ308="1",BI308,0)</f>
        <v>0</v>
      </c>
      <c r="AD308" s="46">
        <f>IF(AQ308="7",BH308,0)</f>
        <v>0</v>
      </c>
      <c r="AE308" s="46">
        <f>IF(AQ308="7",BI308,0)</f>
        <v>0</v>
      </c>
      <c r="AF308" s="46">
        <f>IF(AQ308="2",BH308,0)</f>
        <v>0</v>
      </c>
      <c r="AG308" s="46">
        <f>IF(AQ308="2",BI308,0)</f>
        <v>0</v>
      </c>
      <c r="AH308" s="46">
        <f>IF(AQ308="0",BJ308,0)</f>
        <v>0</v>
      </c>
      <c r="AI308" s="1" t="s">
        <v>141</v>
      </c>
      <c r="AJ308" s="46">
        <f>IF(AN308=0,M308,0)</f>
        <v>0</v>
      </c>
      <c r="AK308" s="46">
        <f>IF(AN308=15,M308,0)</f>
        <v>0</v>
      </c>
      <c r="AL308" s="46">
        <f>IF(AN308=21,M308,0)</f>
        <v>0</v>
      </c>
      <c r="AN308" s="46">
        <v>21</v>
      </c>
      <c r="AO308" s="46">
        <f>J308*0</f>
        <v>0</v>
      </c>
      <c r="AP308" s="46">
        <f>J308*(1-0)</f>
        <v>0</v>
      </c>
      <c r="AQ308" s="42" t="s">
        <v>1157</v>
      </c>
      <c r="AV308" s="46">
        <f>AW308+AX308</f>
        <v>0</v>
      </c>
      <c r="AW308" s="46">
        <f>I308*AO308</f>
        <v>0</v>
      </c>
      <c r="AX308" s="46">
        <f>I308*AP308</f>
        <v>0</v>
      </c>
      <c r="AY308" s="42" t="s">
        <v>1538</v>
      </c>
      <c r="AZ308" s="42" t="s">
        <v>570</v>
      </c>
      <c r="BA308" s="1" t="s">
        <v>1154</v>
      </c>
      <c r="BC308" s="46">
        <f>AW308+AX308</f>
        <v>0</v>
      </c>
      <c r="BD308" s="46">
        <f>J308/(100-BE308)*100</f>
        <v>0</v>
      </c>
      <c r="BE308" s="46">
        <v>0</v>
      </c>
      <c r="BF308" s="46">
        <f>308</f>
        <v>308</v>
      </c>
      <c r="BH308" s="46">
        <f>I308*AO308</f>
        <v>0</v>
      </c>
      <c r="BI308" s="46">
        <f>I308*AP308</f>
        <v>0</v>
      </c>
      <c r="BJ308" s="46">
        <f>I308*J308</f>
        <v>0</v>
      </c>
      <c r="BK308" s="46"/>
      <c r="BL308" s="46"/>
    </row>
    <row r="309" spans="1:64" ht="15" customHeight="1">
      <c r="A309" s="52" t="s">
        <v>598</v>
      </c>
      <c r="B309" s="43" t="s">
        <v>141</v>
      </c>
      <c r="C309" s="43" t="s">
        <v>1393</v>
      </c>
      <c r="D309" s="61" t="s">
        <v>1564</v>
      </c>
      <c r="E309" s="61"/>
      <c r="F309" s="61"/>
      <c r="G309" s="61"/>
      <c r="H309" s="43" t="s">
        <v>1365</v>
      </c>
      <c r="I309" s="46">
        <v>52.5</v>
      </c>
      <c r="J309" s="46">
        <v>0</v>
      </c>
      <c r="K309" s="46">
        <f>I309*AO309</f>
        <v>0</v>
      </c>
      <c r="L309" s="46">
        <f>I309*AP309</f>
        <v>0</v>
      </c>
      <c r="M309" s="46">
        <f>I309*J309</f>
        <v>0</v>
      </c>
      <c r="N309" s="46">
        <v>0.00869</v>
      </c>
      <c r="O309" s="6" t="s">
        <v>1149</v>
      </c>
      <c r="Z309" s="46">
        <f>IF(AQ309="5",BJ309,0)</f>
        <v>0</v>
      </c>
      <c r="AB309" s="46">
        <f>IF(AQ309="1",BH309,0)</f>
        <v>0</v>
      </c>
      <c r="AC309" s="46">
        <f>IF(AQ309="1",BI309,0)</f>
        <v>0</v>
      </c>
      <c r="AD309" s="46">
        <f>IF(AQ309="7",BH309,0)</f>
        <v>0</v>
      </c>
      <c r="AE309" s="46">
        <f>IF(AQ309="7",BI309,0)</f>
        <v>0</v>
      </c>
      <c r="AF309" s="46">
        <f>IF(AQ309="2",BH309,0)</f>
        <v>0</v>
      </c>
      <c r="AG309" s="46">
        <f>IF(AQ309="2",BI309,0)</f>
        <v>0</v>
      </c>
      <c r="AH309" s="46">
        <f>IF(AQ309="0",BJ309,0)</f>
        <v>0</v>
      </c>
      <c r="AI309" s="1" t="s">
        <v>141</v>
      </c>
      <c r="AJ309" s="46">
        <f>IF(AN309=0,M309,0)</f>
        <v>0</v>
      </c>
      <c r="AK309" s="46">
        <f>IF(AN309=15,M309,0)</f>
        <v>0</v>
      </c>
      <c r="AL309" s="46">
        <f>IF(AN309=21,M309,0)</f>
        <v>0</v>
      </c>
      <c r="AN309" s="46">
        <v>21</v>
      </c>
      <c r="AO309" s="46">
        <f>J309*0.282187147688839</f>
        <v>0</v>
      </c>
      <c r="AP309" s="46">
        <f>J309*(1-0.282187147688839)</f>
        <v>0</v>
      </c>
      <c r="AQ309" s="42" t="s">
        <v>1648</v>
      </c>
      <c r="AV309" s="46">
        <f>AW309+AX309</f>
        <v>0</v>
      </c>
      <c r="AW309" s="46">
        <f>I309*AO309</f>
        <v>0</v>
      </c>
      <c r="AX309" s="46">
        <f>I309*AP309</f>
        <v>0</v>
      </c>
      <c r="AY309" s="42" t="s">
        <v>1538</v>
      </c>
      <c r="AZ309" s="42" t="s">
        <v>570</v>
      </c>
      <c r="BA309" s="1" t="s">
        <v>1154</v>
      </c>
      <c r="BC309" s="46">
        <f>AW309+AX309</f>
        <v>0</v>
      </c>
      <c r="BD309" s="46">
        <f>J309/(100-BE309)*100</f>
        <v>0</v>
      </c>
      <c r="BE309" s="46">
        <v>0</v>
      </c>
      <c r="BF309" s="46">
        <f>309</f>
        <v>309</v>
      </c>
      <c r="BH309" s="46">
        <f>I309*AO309</f>
        <v>0</v>
      </c>
      <c r="BI309" s="46">
        <f>I309*AP309</f>
        <v>0</v>
      </c>
      <c r="BJ309" s="46">
        <f>I309*J309</f>
        <v>0</v>
      </c>
      <c r="BK309" s="46"/>
      <c r="BL309" s="46"/>
    </row>
    <row r="310" spans="1:15" ht="15" customHeight="1">
      <c r="A310" s="10"/>
      <c r="D310" s="32" t="s">
        <v>1021</v>
      </c>
      <c r="G310" s="32" t="s">
        <v>1163</v>
      </c>
      <c r="I310" s="58">
        <v>52.50000000000001</v>
      </c>
      <c r="O310" s="30"/>
    </row>
    <row r="311" spans="1:64" ht="15" customHeight="1">
      <c r="A311" s="52" t="s">
        <v>441</v>
      </c>
      <c r="B311" s="43" t="s">
        <v>141</v>
      </c>
      <c r="C311" s="43" t="s">
        <v>766</v>
      </c>
      <c r="D311" s="61" t="s">
        <v>413</v>
      </c>
      <c r="E311" s="61"/>
      <c r="F311" s="61"/>
      <c r="G311" s="61"/>
      <c r="H311" s="43" t="s">
        <v>392</v>
      </c>
      <c r="I311" s="46">
        <v>2</v>
      </c>
      <c r="J311" s="46">
        <v>0</v>
      </c>
      <c r="K311" s="46">
        <f>I311*AO311</f>
        <v>0</v>
      </c>
      <c r="L311" s="46">
        <f>I311*AP311</f>
        <v>0</v>
      </c>
      <c r="M311" s="46">
        <f>I311*J311</f>
        <v>0</v>
      </c>
      <c r="N311" s="46">
        <v>0.0015</v>
      </c>
      <c r="O311" s="6" t="s">
        <v>1149</v>
      </c>
      <c r="Z311" s="46">
        <f>IF(AQ311="5",BJ311,0)</f>
        <v>0</v>
      </c>
      <c r="AB311" s="46">
        <f>IF(AQ311="1",BH311,0)</f>
        <v>0</v>
      </c>
      <c r="AC311" s="46">
        <f>IF(AQ311="1",BI311,0)</f>
        <v>0</v>
      </c>
      <c r="AD311" s="46">
        <f>IF(AQ311="7",BH311,0)</f>
        <v>0</v>
      </c>
      <c r="AE311" s="46">
        <f>IF(AQ311="7",BI311,0)</f>
        <v>0</v>
      </c>
      <c r="AF311" s="46">
        <f>IF(AQ311="2",BH311,0)</f>
        <v>0</v>
      </c>
      <c r="AG311" s="46">
        <f>IF(AQ311="2",BI311,0)</f>
        <v>0</v>
      </c>
      <c r="AH311" s="46">
        <f>IF(AQ311="0",BJ311,0)</f>
        <v>0</v>
      </c>
      <c r="AI311" s="1" t="s">
        <v>141</v>
      </c>
      <c r="AJ311" s="46">
        <f>IF(AN311=0,M311,0)</f>
        <v>0</v>
      </c>
      <c r="AK311" s="46">
        <f>IF(AN311=15,M311,0)</f>
        <v>0</v>
      </c>
      <c r="AL311" s="46">
        <f>IF(AN311=21,M311,0)</f>
        <v>0</v>
      </c>
      <c r="AN311" s="46">
        <v>21</v>
      </c>
      <c r="AO311" s="46">
        <f>J311*1</f>
        <v>0</v>
      </c>
      <c r="AP311" s="46">
        <f>J311*(1-1)</f>
        <v>0</v>
      </c>
      <c r="AQ311" s="42" t="s">
        <v>1648</v>
      </c>
      <c r="AV311" s="46">
        <f>AW311+AX311</f>
        <v>0</v>
      </c>
      <c r="AW311" s="46">
        <f>I311*AO311</f>
        <v>0</v>
      </c>
      <c r="AX311" s="46">
        <f>I311*AP311</f>
        <v>0</v>
      </c>
      <c r="AY311" s="42" t="s">
        <v>1538</v>
      </c>
      <c r="AZ311" s="42" t="s">
        <v>570</v>
      </c>
      <c r="BA311" s="1" t="s">
        <v>1154</v>
      </c>
      <c r="BC311" s="46">
        <f>AW311+AX311</f>
        <v>0</v>
      </c>
      <c r="BD311" s="46">
        <f>J311/(100-BE311)*100</f>
        <v>0</v>
      </c>
      <c r="BE311" s="46">
        <v>0</v>
      </c>
      <c r="BF311" s="46">
        <f>311</f>
        <v>311</v>
      </c>
      <c r="BH311" s="46">
        <f>I311*AO311</f>
        <v>0</v>
      </c>
      <c r="BI311" s="46">
        <f>I311*AP311</f>
        <v>0</v>
      </c>
      <c r="BJ311" s="46">
        <f>I311*J311</f>
        <v>0</v>
      </c>
      <c r="BK311" s="46"/>
      <c r="BL311" s="46"/>
    </row>
    <row r="312" spans="1:15" ht="15" customHeight="1">
      <c r="A312" s="10"/>
      <c r="D312" s="32" t="s">
        <v>1157</v>
      </c>
      <c r="G312" s="32" t="s">
        <v>1858</v>
      </c>
      <c r="I312" s="58">
        <v>2</v>
      </c>
      <c r="O312" s="30"/>
    </row>
    <row r="313" spans="1:64" ht="15" customHeight="1">
      <c r="A313" s="52" t="s">
        <v>1260</v>
      </c>
      <c r="B313" s="43" t="s">
        <v>141</v>
      </c>
      <c r="C313" s="43" t="s">
        <v>1680</v>
      </c>
      <c r="D313" s="61" t="s">
        <v>1156</v>
      </c>
      <c r="E313" s="61"/>
      <c r="F313" s="61"/>
      <c r="G313" s="61"/>
      <c r="H313" s="43" t="s">
        <v>392</v>
      </c>
      <c r="I313" s="46">
        <v>10</v>
      </c>
      <c r="J313" s="46">
        <v>0</v>
      </c>
      <c r="K313" s="46">
        <f>I313*AO313</f>
        <v>0</v>
      </c>
      <c r="L313" s="46">
        <f>I313*AP313</f>
        <v>0</v>
      </c>
      <c r="M313" s="46">
        <f>I313*J313</f>
        <v>0</v>
      </c>
      <c r="N313" s="46">
        <v>0</v>
      </c>
      <c r="O313" s="6" t="s">
        <v>1149</v>
      </c>
      <c r="Z313" s="46">
        <f>IF(AQ313="5",BJ313,0)</f>
        <v>0</v>
      </c>
      <c r="AB313" s="46">
        <f>IF(AQ313="1",BH313,0)</f>
        <v>0</v>
      </c>
      <c r="AC313" s="46">
        <f>IF(AQ313="1",BI313,0)</f>
        <v>0</v>
      </c>
      <c r="AD313" s="46">
        <f>IF(AQ313="7",BH313,0)</f>
        <v>0</v>
      </c>
      <c r="AE313" s="46">
        <f>IF(AQ313="7",BI313,0)</f>
        <v>0</v>
      </c>
      <c r="AF313" s="46">
        <f>IF(AQ313="2",BH313,0)</f>
        <v>0</v>
      </c>
      <c r="AG313" s="46">
        <f>IF(AQ313="2",BI313,0)</f>
        <v>0</v>
      </c>
      <c r="AH313" s="46">
        <f>IF(AQ313="0",BJ313,0)</f>
        <v>0</v>
      </c>
      <c r="AI313" s="1" t="s">
        <v>141</v>
      </c>
      <c r="AJ313" s="46">
        <f>IF(AN313=0,M313,0)</f>
        <v>0</v>
      </c>
      <c r="AK313" s="46">
        <f>IF(AN313=15,M313,0)</f>
        <v>0</v>
      </c>
      <c r="AL313" s="46">
        <f>IF(AN313=21,M313,0)</f>
        <v>0</v>
      </c>
      <c r="AN313" s="46">
        <v>21</v>
      </c>
      <c r="AO313" s="46">
        <f>J313*0</f>
        <v>0</v>
      </c>
      <c r="AP313" s="46">
        <f>J313*(1-0)</f>
        <v>0</v>
      </c>
      <c r="AQ313" s="42" t="s">
        <v>1157</v>
      </c>
      <c r="AV313" s="46">
        <f>AW313+AX313</f>
        <v>0</v>
      </c>
      <c r="AW313" s="46">
        <f>I313*AO313</f>
        <v>0</v>
      </c>
      <c r="AX313" s="46">
        <f>I313*AP313</f>
        <v>0</v>
      </c>
      <c r="AY313" s="42" t="s">
        <v>1538</v>
      </c>
      <c r="AZ313" s="42" t="s">
        <v>570</v>
      </c>
      <c r="BA313" s="1" t="s">
        <v>1154</v>
      </c>
      <c r="BC313" s="46">
        <f>AW313+AX313</f>
        <v>0</v>
      </c>
      <c r="BD313" s="46">
        <f>J313/(100-BE313)*100</f>
        <v>0</v>
      </c>
      <c r="BE313" s="46">
        <v>0</v>
      </c>
      <c r="BF313" s="46">
        <f>313</f>
        <v>313</v>
      </c>
      <c r="BH313" s="46">
        <f>I313*AO313</f>
        <v>0</v>
      </c>
      <c r="BI313" s="46">
        <f>I313*AP313</f>
        <v>0</v>
      </c>
      <c r="BJ313" s="46">
        <f>I313*J313</f>
        <v>0</v>
      </c>
      <c r="BK313" s="46"/>
      <c r="BL313" s="46"/>
    </row>
    <row r="314" spans="1:15" ht="15" customHeight="1">
      <c r="A314" s="10"/>
      <c r="D314" s="32" t="s">
        <v>965</v>
      </c>
      <c r="G314" s="32" t="s">
        <v>1163</v>
      </c>
      <c r="I314" s="58">
        <v>10</v>
      </c>
      <c r="O314" s="30"/>
    </row>
    <row r="315" spans="1:64" ht="15" customHeight="1">
      <c r="A315" s="52" t="s">
        <v>220</v>
      </c>
      <c r="B315" s="43" t="s">
        <v>141</v>
      </c>
      <c r="C315" s="43" t="s">
        <v>316</v>
      </c>
      <c r="D315" s="61" t="s">
        <v>1704</v>
      </c>
      <c r="E315" s="61"/>
      <c r="F315" s="61"/>
      <c r="G315" s="61"/>
      <c r="H315" s="43" t="s">
        <v>392</v>
      </c>
      <c r="I315" s="46">
        <v>10</v>
      </c>
      <c r="J315" s="46">
        <v>0</v>
      </c>
      <c r="K315" s="46">
        <f>I315*AO315</f>
        <v>0</v>
      </c>
      <c r="L315" s="46">
        <f>I315*AP315</f>
        <v>0</v>
      </c>
      <c r="M315" s="46">
        <f>I315*J315</f>
        <v>0</v>
      </c>
      <c r="N315" s="46">
        <v>0.0009</v>
      </c>
      <c r="O315" s="6" t="s">
        <v>1149</v>
      </c>
      <c r="Z315" s="46">
        <f>IF(AQ315="5",BJ315,0)</f>
        <v>0</v>
      </c>
      <c r="AB315" s="46">
        <f>IF(AQ315="1",BH315,0)</f>
        <v>0</v>
      </c>
      <c r="AC315" s="46">
        <f>IF(AQ315="1",BI315,0)</f>
        <v>0</v>
      </c>
      <c r="AD315" s="46">
        <f>IF(AQ315="7",BH315,0)</f>
        <v>0</v>
      </c>
      <c r="AE315" s="46">
        <f>IF(AQ315="7",BI315,0)</f>
        <v>0</v>
      </c>
      <c r="AF315" s="46">
        <f>IF(AQ315="2",BH315,0)</f>
        <v>0</v>
      </c>
      <c r="AG315" s="46">
        <f>IF(AQ315="2",BI315,0)</f>
        <v>0</v>
      </c>
      <c r="AH315" s="46">
        <f>IF(AQ315="0",BJ315,0)</f>
        <v>0</v>
      </c>
      <c r="AI315" s="1" t="s">
        <v>141</v>
      </c>
      <c r="AJ315" s="46">
        <f>IF(AN315=0,M315,0)</f>
        <v>0</v>
      </c>
      <c r="AK315" s="46">
        <f>IF(AN315=15,M315,0)</f>
        <v>0</v>
      </c>
      <c r="AL315" s="46">
        <f>IF(AN315=21,M315,0)</f>
        <v>0</v>
      </c>
      <c r="AN315" s="46">
        <v>21</v>
      </c>
      <c r="AO315" s="46">
        <f>J315*1</f>
        <v>0</v>
      </c>
      <c r="AP315" s="46">
        <f>J315*(1-1)</f>
        <v>0</v>
      </c>
      <c r="AQ315" s="42" t="s">
        <v>1648</v>
      </c>
      <c r="AV315" s="46">
        <f>AW315+AX315</f>
        <v>0</v>
      </c>
      <c r="AW315" s="46">
        <f>I315*AO315</f>
        <v>0</v>
      </c>
      <c r="AX315" s="46">
        <f>I315*AP315</f>
        <v>0</v>
      </c>
      <c r="AY315" s="42" t="s">
        <v>1538</v>
      </c>
      <c r="AZ315" s="42" t="s">
        <v>570</v>
      </c>
      <c r="BA315" s="1" t="s">
        <v>1154</v>
      </c>
      <c r="BC315" s="46">
        <f>AW315+AX315</f>
        <v>0</v>
      </c>
      <c r="BD315" s="46">
        <f>J315/(100-BE315)*100</f>
        <v>0</v>
      </c>
      <c r="BE315" s="46">
        <v>0</v>
      </c>
      <c r="BF315" s="46">
        <f>315</f>
        <v>315</v>
      </c>
      <c r="BH315" s="46">
        <f>I315*AO315</f>
        <v>0</v>
      </c>
      <c r="BI315" s="46">
        <f>I315*AP315</f>
        <v>0</v>
      </c>
      <c r="BJ315" s="46">
        <f>I315*J315</f>
        <v>0</v>
      </c>
      <c r="BK315" s="46"/>
      <c r="BL315" s="46"/>
    </row>
    <row r="316" spans="1:15" ht="15" customHeight="1">
      <c r="A316" s="10"/>
      <c r="D316" s="32" t="s">
        <v>965</v>
      </c>
      <c r="G316" s="32" t="s">
        <v>164</v>
      </c>
      <c r="I316" s="58">
        <v>10</v>
      </c>
      <c r="O316" s="30"/>
    </row>
    <row r="317" spans="1:64" ht="15" customHeight="1">
      <c r="A317" s="52" t="s">
        <v>1543</v>
      </c>
      <c r="B317" s="43" t="s">
        <v>141</v>
      </c>
      <c r="C317" s="43" t="s">
        <v>1440</v>
      </c>
      <c r="D317" s="61" t="s">
        <v>1140</v>
      </c>
      <c r="E317" s="61"/>
      <c r="F317" s="61"/>
      <c r="G317" s="61"/>
      <c r="H317" s="43" t="s">
        <v>749</v>
      </c>
      <c r="I317" s="46">
        <v>1283.5273</v>
      </c>
      <c r="J317" s="46">
        <v>0</v>
      </c>
      <c r="K317" s="46">
        <f>I317*AO317</f>
        <v>0</v>
      </c>
      <c r="L317" s="46">
        <f>I317*AP317</f>
        <v>0</v>
      </c>
      <c r="M317" s="46">
        <f>I317*J317</f>
        <v>0</v>
      </c>
      <c r="N317" s="46">
        <v>0</v>
      </c>
      <c r="O317" s="6" t="s">
        <v>1149</v>
      </c>
      <c r="Z317" s="46">
        <f>IF(AQ317="5",BJ317,0)</f>
        <v>0</v>
      </c>
      <c r="AB317" s="46">
        <f>IF(AQ317="1",BH317,0)</f>
        <v>0</v>
      </c>
      <c r="AC317" s="46">
        <f>IF(AQ317="1",BI317,0)</f>
        <v>0</v>
      </c>
      <c r="AD317" s="46">
        <f>IF(AQ317="7",BH317,0)</f>
        <v>0</v>
      </c>
      <c r="AE317" s="46">
        <f>IF(AQ317="7",BI317,0)</f>
        <v>0</v>
      </c>
      <c r="AF317" s="46">
        <f>IF(AQ317="2",BH317,0)</f>
        <v>0</v>
      </c>
      <c r="AG317" s="46">
        <f>IF(AQ317="2",BI317,0)</f>
        <v>0</v>
      </c>
      <c r="AH317" s="46">
        <f>IF(AQ317="0",BJ317,0)</f>
        <v>0</v>
      </c>
      <c r="AI317" s="1" t="s">
        <v>141</v>
      </c>
      <c r="AJ317" s="46">
        <f>IF(AN317=0,M317,0)</f>
        <v>0</v>
      </c>
      <c r="AK317" s="46">
        <f>IF(AN317=15,M317,0)</f>
        <v>0</v>
      </c>
      <c r="AL317" s="46">
        <f>IF(AN317=21,M317,0)</f>
        <v>0</v>
      </c>
      <c r="AN317" s="46">
        <v>21</v>
      </c>
      <c r="AO317" s="46">
        <f>J317*0</f>
        <v>0</v>
      </c>
      <c r="AP317" s="46">
        <f>J317*(1-0)</f>
        <v>0</v>
      </c>
      <c r="AQ317" s="42" t="s">
        <v>880</v>
      </c>
      <c r="AV317" s="46">
        <f>AW317+AX317</f>
        <v>0</v>
      </c>
      <c r="AW317" s="46">
        <f>I317*AO317</f>
        <v>0</v>
      </c>
      <c r="AX317" s="46">
        <f>I317*AP317</f>
        <v>0</v>
      </c>
      <c r="AY317" s="42" t="s">
        <v>1538</v>
      </c>
      <c r="AZ317" s="42" t="s">
        <v>570</v>
      </c>
      <c r="BA317" s="1" t="s">
        <v>1154</v>
      </c>
      <c r="BC317" s="46">
        <f>AW317+AX317</f>
        <v>0</v>
      </c>
      <c r="BD317" s="46">
        <f>J317/(100-BE317)*100</f>
        <v>0</v>
      </c>
      <c r="BE317" s="46">
        <v>0</v>
      </c>
      <c r="BF317" s="46">
        <f>317</f>
        <v>317</v>
      </c>
      <c r="BH317" s="46">
        <f>I317*AO317</f>
        <v>0</v>
      </c>
      <c r="BI317" s="46">
        <f>I317*AP317</f>
        <v>0</v>
      </c>
      <c r="BJ317" s="46">
        <f>I317*J317</f>
        <v>0</v>
      </c>
      <c r="BK317" s="46"/>
      <c r="BL317" s="46"/>
    </row>
    <row r="318" spans="1:64" ht="15" customHeight="1">
      <c r="A318" s="52" t="s">
        <v>381</v>
      </c>
      <c r="B318" s="43" t="s">
        <v>141</v>
      </c>
      <c r="C318" s="43" t="s">
        <v>1816</v>
      </c>
      <c r="D318" s="61" t="s">
        <v>1205</v>
      </c>
      <c r="E318" s="61"/>
      <c r="F318" s="61"/>
      <c r="G318" s="61"/>
      <c r="H318" s="43" t="s">
        <v>1574</v>
      </c>
      <c r="I318" s="46">
        <v>350</v>
      </c>
      <c r="J318" s="46">
        <v>0</v>
      </c>
      <c r="K318" s="46">
        <f>I318*AO318</f>
        <v>0</v>
      </c>
      <c r="L318" s="46">
        <f>I318*AP318</f>
        <v>0</v>
      </c>
      <c r="M318" s="46">
        <f>I318*J318</f>
        <v>0</v>
      </c>
      <c r="N318" s="46">
        <v>0.001</v>
      </c>
      <c r="O318" s="6" t="s">
        <v>1149</v>
      </c>
      <c r="Z318" s="46">
        <f>IF(AQ318="5",BJ318,0)</f>
        <v>0</v>
      </c>
      <c r="AB318" s="46">
        <f>IF(AQ318="1",BH318,0)</f>
        <v>0</v>
      </c>
      <c r="AC318" s="46">
        <f>IF(AQ318="1",BI318,0)</f>
        <v>0</v>
      </c>
      <c r="AD318" s="46">
        <f>IF(AQ318="7",BH318,0)</f>
        <v>0</v>
      </c>
      <c r="AE318" s="46">
        <f>IF(AQ318="7",BI318,0)</f>
        <v>0</v>
      </c>
      <c r="AF318" s="46">
        <f>IF(AQ318="2",BH318,0)</f>
        <v>0</v>
      </c>
      <c r="AG318" s="46">
        <f>IF(AQ318="2",BI318,0)</f>
        <v>0</v>
      </c>
      <c r="AH318" s="46">
        <f>IF(AQ318="0",BJ318,0)</f>
        <v>0</v>
      </c>
      <c r="AI318" s="1" t="s">
        <v>141</v>
      </c>
      <c r="AJ318" s="46">
        <f>IF(AN318=0,M318,0)</f>
        <v>0</v>
      </c>
      <c r="AK318" s="46">
        <f>IF(AN318=15,M318,0)</f>
        <v>0</v>
      </c>
      <c r="AL318" s="46">
        <f>IF(AN318=21,M318,0)</f>
        <v>0</v>
      </c>
      <c r="AN318" s="46">
        <v>21</v>
      </c>
      <c r="AO318" s="46">
        <f>J318*1</f>
        <v>0</v>
      </c>
      <c r="AP318" s="46">
        <f>J318*(1-1)</f>
        <v>0</v>
      </c>
      <c r="AQ318" s="42" t="s">
        <v>1648</v>
      </c>
      <c r="AV318" s="46">
        <f>AW318+AX318</f>
        <v>0</v>
      </c>
      <c r="AW318" s="46">
        <f>I318*AO318</f>
        <v>0</v>
      </c>
      <c r="AX318" s="46">
        <f>I318*AP318</f>
        <v>0</v>
      </c>
      <c r="AY318" s="42" t="s">
        <v>1538</v>
      </c>
      <c r="AZ318" s="42" t="s">
        <v>570</v>
      </c>
      <c r="BA318" s="1" t="s">
        <v>1154</v>
      </c>
      <c r="BC318" s="46">
        <f>AW318+AX318</f>
        <v>0</v>
      </c>
      <c r="BD318" s="46">
        <f>J318/(100-BE318)*100</f>
        <v>0</v>
      </c>
      <c r="BE318" s="46">
        <v>0</v>
      </c>
      <c r="BF318" s="46">
        <f>318</f>
        <v>318</v>
      </c>
      <c r="BH318" s="46">
        <f>I318*AO318</f>
        <v>0</v>
      </c>
      <c r="BI318" s="46">
        <f>I318*AP318</f>
        <v>0</v>
      </c>
      <c r="BJ318" s="46">
        <f>I318*J318</f>
        <v>0</v>
      </c>
      <c r="BK318" s="46"/>
      <c r="BL318" s="46"/>
    </row>
    <row r="319" spans="1:15" ht="15" customHeight="1">
      <c r="A319" s="3" t="s">
        <v>1163</v>
      </c>
      <c r="B319" s="9" t="s">
        <v>323</v>
      </c>
      <c r="C319" s="9" t="s">
        <v>1163</v>
      </c>
      <c r="D319" s="64" t="s">
        <v>1489</v>
      </c>
      <c r="E319" s="64"/>
      <c r="F319" s="64"/>
      <c r="G319" s="64"/>
      <c r="H319" s="41" t="s">
        <v>1537</v>
      </c>
      <c r="I319" s="41" t="s">
        <v>1537</v>
      </c>
      <c r="J319" s="41" t="s">
        <v>1537</v>
      </c>
      <c r="K319" s="50">
        <f>K320+K357+K370+K375+K380+K386+K399+K402+K409+K416+K426+K462+K508+K514+K519</f>
        <v>0</v>
      </c>
      <c r="L319" s="50">
        <f>L320+L357+L370+L375+L380+L386+L399+L402+L409+L416+L426+L462+L508+L514+L519</f>
        <v>0</v>
      </c>
      <c r="M319" s="50">
        <f>M320+M357+M370+M375+M380+M386+M399+M402+M409+M416+M426+M462+M508+M514+M519</f>
        <v>0</v>
      </c>
      <c r="N319" s="1" t="s">
        <v>1163</v>
      </c>
      <c r="O319" s="45" t="s">
        <v>1163</v>
      </c>
    </row>
    <row r="320" spans="1:47" ht="15" customHeight="1">
      <c r="A320" s="3" t="s">
        <v>1163</v>
      </c>
      <c r="B320" s="9" t="s">
        <v>323</v>
      </c>
      <c r="C320" s="9" t="s">
        <v>1385</v>
      </c>
      <c r="D320" s="64" t="s">
        <v>909</v>
      </c>
      <c r="E320" s="64"/>
      <c r="F320" s="64"/>
      <c r="G320" s="64"/>
      <c r="H320" s="41" t="s">
        <v>1537</v>
      </c>
      <c r="I320" s="41" t="s">
        <v>1537</v>
      </c>
      <c r="J320" s="41" t="s">
        <v>1537</v>
      </c>
      <c r="K320" s="50">
        <f>SUM(K321:K355)</f>
        <v>0</v>
      </c>
      <c r="L320" s="50">
        <f>SUM(L321:L355)</f>
        <v>0</v>
      </c>
      <c r="M320" s="50">
        <f>SUM(M321:M355)</f>
        <v>0</v>
      </c>
      <c r="N320" s="1" t="s">
        <v>1163</v>
      </c>
      <c r="O320" s="45" t="s">
        <v>1163</v>
      </c>
      <c r="AI320" s="1" t="s">
        <v>323</v>
      </c>
      <c r="AS320" s="50">
        <f>SUM(AJ321:AJ355)</f>
        <v>0</v>
      </c>
      <c r="AT320" s="50">
        <f>SUM(AK321:AK355)</f>
        <v>0</v>
      </c>
      <c r="AU320" s="50">
        <f>SUM(AL321:AL355)</f>
        <v>0</v>
      </c>
    </row>
    <row r="321" spans="1:64" ht="15" customHeight="1">
      <c r="A321" s="52" t="s">
        <v>247</v>
      </c>
      <c r="B321" s="43" t="s">
        <v>323</v>
      </c>
      <c r="C321" s="43" t="s">
        <v>783</v>
      </c>
      <c r="D321" s="61" t="s">
        <v>1013</v>
      </c>
      <c r="E321" s="61"/>
      <c r="F321" s="61"/>
      <c r="G321" s="61"/>
      <c r="H321" s="43" t="s">
        <v>717</v>
      </c>
      <c r="I321" s="46">
        <v>70</v>
      </c>
      <c r="J321" s="46">
        <v>0</v>
      </c>
      <c r="K321" s="46">
        <f>I321*AO321</f>
        <v>0</v>
      </c>
      <c r="L321" s="46">
        <f>I321*AP321</f>
        <v>0</v>
      </c>
      <c r="M321" s="46">
        <f>I321*J321</f>
        <v>0</v>
      </c>
      <c r="N321" s="46">
        <v>0</v>
      </c>
      <c r="O321" s="6" t="s">
        <v>1149</v>
      </c>
      <c r="Z321" s="46">
        <f>IF(AQ321="5",BJ321,0)</f>
        <v>0</v>
      </c>
      <c r="AB321" s="46">
        <f>IF(AQ321="1",BH321,0)</f>
        <v>0</v>
      </c>
      <c r="AC321" s="46">
        <f>IF(AQ321="1",BI321,0)</f>
        <v>0</v>
      </c>
      <c r="AD321" s="46">
        <f>IF(AQ321="7",BH321,0)</f>
        <v>0</v>
      </c>
      <c r="AE321" s="46">
        <f>IF(AQ321="7",BI321,0)</f>
        <v>0</v>
      </c>
      <c r="AF321" s="46">
        <f>IF(AQ321="2",BH321,0)</f>
        <v>0</v>
      </c>
      <c r="AG321" s="46">
        <f>IF(AQ321="2",BI321,0)</f>
        <v>0</v>
      </c>
      <c r="AH321" s="46">
        <f>IF(AQ321="0",BJ321,0)</f>
        <v>0</v>
      </c>
      <c r="AI321" s="1" t="s">
        <v>323</v>
      </c>
      <c r="AJ321" s="46">
        <f>IF(AN321=0,M321,0)</f>
        <v>0</v>
      </c>
      <c r="AK321" s="46">
        <f>IF(AN321=15,M321,0)</f>
        <v>0</v>
      </c>
      <c r="AL321" s="46">
        <f>IF(AN321=21,M321,0)</f>
        <v>0</v>
      </c>
      <c r="AN321" s="46">
        <v>21</v>
      </c>
      <c r="AO321" s="46">
        <f>J321*0</f>
        <v>0</v>
      </c>
      <c r="AP321" s="46">
        <f>J321*(1-0)</f>
        <v>0</v>
      </c>
      <c r="AQ321" s="42" t="s">
        <v>1648</v>
      </c>
      <c r="AV321" s="46">
        <f>AW321+AX321</f>
        <v>0</v>
      </c>
      <c r="AW321" s="46">
        <f>I321*AO321</f>
        <v>0</v>
      </c>
      <c r="AX321" s="46">
        <f>I321*AP321</f>
        <v>0</v>
      </c>
      <c r="AY321" s="42" t="s">
        <v>179</v>
      </c>
      <c r="AZ321" s="42" t="s">
        <v>516</v>
      </c>
      <c r="BA321" s="1" t="s">
        <v>1213</v>
      </c>
      <c r="BC321" s="46">
        <f>AW321+AX321</f>
        <v>0</v>
      </c>
      <c r="BD321" s="46">
        <f>J321/(100-BE321)*100</f>
        <v>0</v>
      </c>
      <c r="BE321" s="46">
        <v>0</v>
      </c>
      <c r="BF321" s="46">
        <f>321</f>
        <v>321</v>
      </c>
      <c r="BH321" s="46">
        <f>I321*AO321</f>
        <v>0</v>
      </c>
      <c r="BI321" s="46">
        <f>I321*AP321</f>
        <v>0</v>
      </c>
      <c r="BJ321" s="46">
        <f>I321*J321</f>
        <v>0</v>
      </c>
      <c r="BK321" s="46"/>
      <c r="BL321" s="46">
        <v>11</v>
      </c>
    </row>
    <row r="322" spans="1:15" ht="15" customHeight="1">
      <c r="A322" s="10"/>
      <c r="D322" s="32" t="s">
        <v>1322</v>
      </c>
      <c r="G322" s="32" t="s">
        <v>800</v>
      </c>
      <c r="I322" s="58">
        <v>70</v>
      </c>
      <c r="O322" s="30"/>
    </row>
    <row r="323" spans="1:64" ht="15" customHeight="1">
      <c r="A323" s="52" t="s">
        <v>458</v>
      </c>
      <c r="B323" s="43" t="s">
        <v>323</v>
      </c>
      <c r="C323" s="43" t="s">
        <v>398</v>
      </c>
      <c r="D323" s="61" t="s">
        <v>1568</v>
      </c>
      <c r="E323" s="61"/>
      <c r="F323" s="61"/>
      <c r="G323" s="61"/>
      <c r="H323" s="43" t="s">
        <v>1365</v>
      </c>
      <c r="I323" s="46">
        <v>461.4</v>
      </c>
      <c r="J323" s="46">
        <v>0</v>
      </c>
      <c r="K323" s="46">
        <f>I323*AO323</f>
        <v>0</v>
      </c>
      <c r="L323" s="46">
        <f>I323*AP323</f>
        <v>0</v>
      </c>
      <c r="M323" s="46">
        <f>I323*J323</f>
        <v>0</v>
      </c>
      <c r="N323" s="46">
        <v>0.00838</v>
      </c>
      <c r="O323" s="6" t="s">
        <v>1149</v>
      </c>
      <c r="Z323" s="46">
        <f>IF(AQ323="5",BJ323,0)</f>
        <v>0</v>
      </c>
      <c r="AB323" s="46">
        <f>IF(AQ323="1",BH323,0)</f>
        <v>0</v>
      </c>
      <c r="AC323" s="46">
        <f>IF(AQ323="1",BI323,0)</f>
        <v>0</v>
      </c>
      <c r="AD323" s="46">
        <f>IF(AQ323="7",BH323,0)</f>
        <v>0</v>
      </c>
      <c r="AE323" s="46">
        <f>IF(AQ323="7",BI323,0)</f>
        <v>0</v>
      </c>
      <c r="AF323" s="46">
        <f>IF(AQ323="2",BH323,0)</f>
        <v>0</v>
      </c>
      <c r="AG323" s="46">
        <f>IF(AQ323="2",BI323,0)</f>
        <v>0</v>
      </c>
      <c r="AH323" s="46">
        <f>IF(AQ323="0",BJ323,0)</f>
        <v>0</v>
      </c>
      <c r="AI323" s="1" t="s">
        <v>323</v>
      </c>
      <c r="AJ323" s="46">
        <f>IF(AN323=0,M323,0)</f>
        <v>0</v>
      </c>
      <c r="AK323" s="46">
        <f>IF(AN323=15,M323,0)</f>
        <v>0</v>
      </c>
      <c r="AL323" s="46">
        <f>IF(AN323=21,M323,0)</f>
        <v>0</v>
      </c>
      <c r="AN323" s="46">
        <v>21</v>
      </c>
      <c r="AO323" s="46">
        <f>J323*0.560174496644295</f>
        <v>0</v>
      </c>
      <c r="AP323" s="46">
        <f>J323*(1-0.560174496644295)</f>
        <v>0</v>
      </c>
      <c r="AQ323" s="42" t="s">
        <v>1648</v>
      </c>
      <c r="AV323" s="46">
        <f>AW323+AX323</f>
        <v>0</v>
      </c>
      <c r="AW323" s="46">
        <f>I323*AO323</f>
        <v>0</v>
      </c>
      <c r="AX323" s="46">
        <f>I323*AP323</f>
        <v>0</v>
      </c>
      <c r="AY323" s="42" t="s">
        <v>179</v>
      </c>
      <c r="AZ323" s="42" t="s">
        <v>516</v>
      </c>
      <c r="BA323" s="1" t="s">
        <v>1213</v>
      </c>
      <c r="BC323" s="46">
        <f>AW323+AX323</f>
        <v>0</v>
      </c>
      <c r="BD323" s="46">
        <f>J323/(100-BE323)*100</f>
        <v>0</v>
      </c>
      <c r="BE323" s="46">
        <v>0</v>
      </c>
      <c r="BF323" s="46">
        <f>323</f>
        <v>323</v>
      </c>
      <c r="BH323" s="46">
        <f>I323*AO323</f>
        <v>0</v>
      </c>
      <c r="BI323" s="46">
        <f>I323*AP323</f>
        <v>0</v>
      </c>
      <c r="BJ323" s="46">
        <f>I323*J323</f>
        <v>0</v>
      </c>
      <c r="BK323" s="46"/>
      <c r="BL323" s="46">
        <v>11</v>
      </c>
    </row>
    <row r="324" spans="1:15" ht="15" customHeight="1">
      <c r="A324" s="10"/>
      <c r="D324" s="32" t="s">
        <v>1206</v>
      </c>
      <c r="G324" s="32" t="s">
        <v>1163</v>
      </c>
      <c r="I324" s="58">
        <v>461.40000000000003</v>
      </c>
      <c r="O324" s="30"/>
    </row>
    <row r="325" spans="1:64" ht="15" customHeight="1">
      <c r="A325" s="52" t="s">
        <v>505</v>
      </c>
      <c r="B325" s="43" t="s">
        <v>323</v>
      </c>
      <c r="C325" s="43" t="s">
        <v>1607</v>
      </c>
      <c r="D325" s="61" t="s">
        <v>582</v>
      </c>
      <c r="E325" s="61"/>
      <c r="F325" s="61"/>
      <c r="G325" s="61"/>
      <c r="H325" s="43" t="s">
        <v>92</v>
      </c>
      <c r="I325" s="46">
        <v>70</v>
      </c>
      <c r="J325" s="46">
        <v>0</v>
      </c>
      <c r="K325" s="46">
        <f>I325*AO325</f>
        <v>0</v>
      </c>
      <c r="L325" s="46">
        <f>I325*AP325</f>
        <v>0</v>
      </c>
      <c r="M325" s="46">
        <f>I325*J325</f>
        <v>0</v>
      </c>
      <c r="N325" s="46">
        <v>0</v>
      </c>
      <c r="O325" s="6" t="s">
        <v>1149</v>
      </c>
      <c r="Z325" s="46">
        <f>IF(AQ325="5",BJ325,0)</f>
        <v>0</v>
      </c>
      <c r="AB325" s="46">
        <f>IF(AQ325="1",BH325,0)</f>
        <v>0</v>
      </c>
      <c r="AC325" s="46">
        <f>IF(AQ325="1",BI325,0)</f>
        <v>0</v>
      </c>
      <c r="AD325" s="46">
        <f>IF(AQ325="7",BH325,0)</f>
        <v>0</v>
      </c>
      <c r="AE325" s="46">
        <f>IF(AQ325="7",BI325,0)</f>
        <v>0</v>
      </c>
      <c r="AF325" s="46">
        <f>IF(AQ325="2",BH325,0)</f>
        <v>0</v>
      </c>
      <c r="AG325" s="46">
        <f>IF(AQ325="2",BI325,0)</f>
        <v>0</v>
      </c>
      <c r="AH325" s="46">
        <f>IF(AQ325="0",BJ325,0)</f>
        <v>0</v>
      </c>
      <c r="AI325" s="1" t="s">
        <v>323</v>
      </c>
      <c r="AJ325" s="46">
        <f>IF(AN325=0,M325,0)</f>
        <v>0</v>
      </c>
      <c r="AK325" s="46">
        <f>IF(AN325=15,M325,0)</f>
        <v>0</v>
      </c>
      <c r="AL325" s="46">
        <f>IF(AN325=21,M325,0)</f>
        <v>0</v>
      </c>
      <c r="AN325" s="46">
        <v>21</v>
      </c>
      <c r="AO325" s="46">
        <f>J325*0</f>
        <v>0</v>
      </c>
      <c r="AP325" s="46">
        <f>J325*(1-0)</f>
        <v>0</v>
      </c>
      <c r="AQ325" s="42" t="s">
        <v>1648</v>
      </c>
      <c r="AV325" s="46">
        <f>AW325+AX325</f>
        <v>0</v>
      </c>
      <c r="AW325" s="46">
        <f>I325*AO325</f>
        <v>0</v>
      </c>
      <c r="AX325" s="46">
        <f>I325*AP325</f>
        <v>0</v>
      </c>
      <c r="AY325" s="42" t="s">
        <v>179</v>
      </c>
      <c r="AZ325" s="42" t="s">
        <v>516</v>
      </c>
      <c r="BA325" s="1" t="s">
        <v>1213</v>
      </c>
      <c r="BC325" s="46">
        <f>AW325+AX325</f>
        <v>0</v>
      </c>
      <c r="BD325" s="46">
        <f>J325/(100-BE325)*100</f>
        <v>0</v>
      </c>
      <c r="BE325" s="46">
        <v>0</v>
      </c>
      <c r="BF325" s="46">
        <f>325</f>
        <v>325</v>
      </c>
      <c r="BH325" s="46">
        <f>I325*AO325</f>
        <v>0</v>
      </c>
      <c r="BI325" s="46">
        <f>I325*AP325</f>
        <v>0</v>
      </c>
      <c r="BJ325" s="46">
        <f>I325*J325</f>
        <v>0</v>
      </c>
      <c r="BK325" s="46"/>
      <c r="BL325" s="46">
        <v>11</v>
      </c>
    </row>
    <row r="326" spans="1:15" ht="15" customHeight="1">
      <c r="A326" s="10"/>
      <c r="D326" s="32" t="s">
        <v>1322</v>
      </c>
      <c r="G326" s="32" t="s">
        <v>800</v>
      </c>
      <c r="I326" s="58">
        <v>70</v>
      </c>
      <c r="O326" s="30"/>
    </row>
    <row r="327" spans="1:64" ht="15" customHeight="1">
      <c r="A327" s="52" t="s">
        <v>332</v>
      </c>
      <c r="B327" s="43" t="s">
        <v>323</v>
      </c>
      <c r="C327" s="43" t="s">
        <v>1222</v>
      </c>
      <c r="D327" s="61" t="s">
        <v>1055</v>
      </c>
      <c r="E327" s="61"/>
      <c r="F327" s="61"/>
      <c r="G327" s="61"/>
      <c r="H327" s="43" t="s">
        <v>1365</v>
      </c>
      <c r="I327" s="46">
        <v>19.5</v>
      </c>
      <c r="J327" s="46">
        <v>0</v>
      </c>
      <c r="K327" s="46">
        <f>I327*AO327</f>
        <v>0</v>
      </c>
      <c r="L327" s="46">
        <f>I327*AP327</f>
        <v>0</v>
      </c>
      <c r="M327" s="46">
        <f>I327*J327</f>
        <v>0</v>
      </c>
      <c r="N327" s="46">
        <v>0.02478</v>
      </c>
      <c r="O327" s="6" t="s">
        <v>1149</v>
      </c>
      <c r="Z327" s="46">
        <f>IF(AQ327="5",BJ327,0)</f>
        <v>0</v>
      </c>
      <c r="AB327" s="46">
        <f>IF(AQ327="1",BH327,0)</f>
        <v>0</v>
      </c>
      <c r="AC327" s="46">
        <f>IF(AQ327="1",BI327,0)</f>
        <v>0</v>
      </c>
      <c r="AD327" s="46">
        <f>IF(AQ327="7",BH327,0)</f>
        <v>0</v>
      </c>
      <c r="AE327" s="46">
        <f>IF(AQ327="7",BI327,0)</f>
        <v>0</v>
      </c>
      <c r="AF327" s="46">
        <f>IF(AQ327="2",BH327,0)</f>
        <v>0</v>
      </c>
      <c r="AG327" s="46">
        <f>IF(AQ327="2",BI327,0)</f>
        <v>0</v>
      </c>
      <c r="AH327" s="46">
        <f>IF(AQ327="0",BJ327,0)</f>
        <v>0</v>
      </c>
      <c r="AI327" s="1" t="s">
        <v>323</v>
      </c>
      <c r="AJ327" s="46">
        <f>IF(AN327=0,M327,0)</f>
        <v>0</v>
      </c>
      <c r="AK327" s="46">
        <f>IF(AN327=15,M327,0)</f>
        <v>0</v>
      </c>
      <c r="AL327" s="46">
        <f>IF(AN327=21,M327,0)</f>
        <v>0</v>
      </c>
      <c r="AN327" s="46">
        <v>21</v>
      </c>
      <c r="AO327" s="46">
        <f>J327*0.352956636005256</f>
        <v>0</v>
      </c>
      <c r="AP327" s="46">
        <f>J327*(1-0.352956636005256)</f>
        <v>0</v>
      </c>
      <c r="AQ327" s="42" t="s">
        <v>1648</v>
      </c>
      <c r="AV327" s="46">
        <f>AW327+AX327</f>
        <v>0</v>
      </c>
      <c r="AW327" s="46">
        <f>I327*AO327</f>
        <v>0</v>
      </c>
      <c r="AX327" s="46">
        <f>I327*AP327</f>
        <v>0</v>
      </c>
      <c r="AY327" s="42" t="s">
        <v>179</v>
      </c>
      <c r="AZ327" s="42" t="s">
        <v>516</v>
      </c>
      <c r="BA327" s="1" t="s">
        <v>1213</v>
      </c>
      <c r="BC327" s="46">
        <f>AW327+AX327</f>
        <v>0</v>
      </c>
      <c r="BD327" s="46">
        <f>J327/(100-BE327)*100</f>
        <v>0</v>
      </c>
      <c r="BE327" s="46">
        <v>0</v>
      </c>
      <c r="BF327" s="46">
        <f>327</f>
        <v>327</v>
      </c>
      <c r="BH327" s="46">
        <f>I327*AO327</f>
        <v>0</v>
      </c>
      <c r="BI327" s="46">
        <f>I327*AP327</f>
        <v>0</v>
      </c>
      <c r="BJ327" s="46">
        <f>I327*J327</f>
        <v>0</v>
      </c>
      <c r="BK327" s="46"/>
      <c r="BL327" s="46">
        <v>11</v>
      </c>
    </row>
    <row r="328" spans="1:15" ht="15" customHeight="1">
      <c r="A328" s="10"/>
      <c r="D328" s="32" t="s">
        <v>1306</v>
      </c>
      <c r="G328" s="32" t="s">
        <v>1163</v>
      </c>
      <c r="I328" s="58">
        <v>19.5</v>
      </c>
      <c r="O328" s="30"/>
    </row>
    <row r="329" spans="1:64" ht="15" customHeight="1">
      <c r="A329" s="52" t="s">
        <v>655</v>
      </c>
      <c r="B329" s="43" t="s">
        <v>323</v>
      </c>
      <c r="C329" s="43" t="s">
        <v>1661</v>
      </c>
      <c r="D329" s="61" t="s">
        <v>1424</v>
      </c>
      <c r="E329" s="61"/>
      <c r="F329" s="61"/>
      <c r="G329" s="61"/>
      <c r="H329" s="43" t="s">
        <v>1365</v>
      </c>
      <c r="I329" s="46">
        <v>16</v>
      </c>
      <c r="J329" s="46">
        <v>0</v>
      </c>
      <c r="K329" s="46">
        <f>I329*AO329</f>
        <v>0</v>
      </c>
      <c r="L329" s="46">
        <f>I329*AP329</f>
        <v>0</v>
      </c>
      <c r="M329" s="46">
        <f>I329*J329</f>
        <v>0</v>
      </c>
      <c r="N329" s="46">
        <v>0.01271</v>
      </c>
      <c r="O329" s="6" t="s">
        <v>1149</v>
      </c>
      <c r="Z329" s="46">
        <f>IF(AQ329="5",BJ329,0)</f>
        <v>0</v>
      </c>
      <c r="AB329" s="46">
        <f>IF(AQ329="1",BH329,0)</f>
        <v>0</v>
      </c>
      <c r="AC329" s="46">
        <f>IF(AQ329="1",BI329,0)</f>
        <v>0</v>
      </c>
      <c r="AD329" s="46">
        <f>IF(AQ329="7",BH329,0)</f>
        <v>0</v>
      </c>
      <c r="AE329" s="46">
        <f>IF(AQ329="7",BI329,0)</f>
        <v>0</v>
      </c>
      <c r="AF329" s="46">
        <f>IF(AQ329="2",BH329,0)</f>
        <v>0</v>
      </c>
      <c r="AG329" s="46">
        <f>IF(AQ329="2",BI329,0)</f>
        <v>0</v>
      </c>
      <c r="AH329" s="46">
        <f>IF(AQ329="0",BJ329,0)</f>
        <v>0</v>
      </c>
      <c r="AI329" s="1" t="s">
        <v>323</v>
      </c>
      <c r="AJ329" s="46">
        <f>IF(AN329=0,M329,0)</f>
        <v>0</v>
      </c>
      <c r="AK329" s="46">
        <f>IF(AN329=15,M329,0)</f>
        <v>0</v>
      </c>
      <c r="AL329" s="46">
        <f>IF(AN329=21,M329,0)</f>
        <v>0</v>
      </c>
      <c r="AN329" s="46">
        <v>21</v>
      </c>
      <c r="AO329" s="46">
        <f>J329*0.256844997804501</f>
        <v>0</v>
      </c>
      <c r="AP329" s="46">
        <f>J329*(1-0.256844997804501)</f>
        <v>0</v>
      </c>
      <c r="AQ329" s="42" t="s">
        <v>1648</v>
      </c>
      <c r="AV329" s="46">
        <f>AW329+AX329</f>
        <v>0</v>
      </c>
      <c r="AW329" s="46">
        <f>I329*AO329</f>
        <v>0</v>
      </c>
      <c r="AX329" s="46">
        <f>I329*AP329</f>
        <v>0</v>
      </c>
      <c r="AY329" s="42" t="s">
        <v>179</v>
      </c>
      <c r="AZ329" s="42" t="s">
        <v>516</v>
      </c>
      <c r="BA329" s="1" t="s">
        <v>1213</v>
      </c>
      <c r="BC329" s="46">
        <f>AW329+AX329</f>
        <v>0</v>
      </c>
      <c r="BD329" s="46">
        <f>J329/(100-BE329)*100</f>
        <v>0</v>
      </c>
      <c r="BE329" s="46">
        <v>0</v>
      </c>
      <c r="BF329" s="46">
        <f>329</f>
        <v>329</v>
      </c>
      <c r="BH329" s="46">
        <f>I329*AO329</f>
        <v>0</v>
      </c>
      <c r="BI329" s="46">
        <f>I329*AP329</f>
        <v>0</v>
      </c>
      <c r="BJ329" s="46">
        <f>I329*J329</f>
        <v>0</v>
      </c>
      <c r="BK329" s="46"/>
      <c r="BL329" s="46">
        <v>11</v>
      </c>
    </row>
    <row r="330" spans="1:15" ht="15" customHeight="1">
      <c r="A330" s="10"/>
      <c r="D330" s="32" t="s">
        <v>1725</v>
      </c>
      <c r="G330" s="32" t="s">
        <v>1010</v>
      </c>
      <c r="I330" s="58">
        <v>16</v>
      </c>
      <c r="O330" s="30"/>
    </row>
    <row r="331" spans="1:64" ht="15" customHeight="1">
      <c r="A331" s="52" t="s">
        <v>631</v>
      </c>
      <c r="B331" s="43" t="s">
        <v>323</v>
      </c>
      <c r="C331" s="43" t="s">
        <v>1393</v>
      </c>
      <c r="D331" s="61" t="s">
        <v>1564</v>
      </c>
      <c r="E331" s="61"/>
      <c r="F331" s="61"/>
      <c r="G331" s="61"/>
      <c r="H331" s="43" t="s">
        <v>1365</v>
      </c>
      <c r="I331" s="46">
        <v>52.5</v>
      </c>
      <c r="J331" s="46">
        <v>0</v>
      </c>
      <c r="K331" s="46">
        <f>I331*AO331</f>
        <v>0</v>
      </c>
      <c r="L331" s="46">
        <f>I331*AP331</f>
        <v>0</v>
      </c>
      <c r="M331" s="46">
        <f>I331*J331</f>
        <v>0</v>
      </c>
      <c r="N331" s="46">
        <v>0.00869</v>
      </c>
      <c r="O331" s="6" t="s">
        <v>1149</v>
      </c>
      <c r="Z331" s="46">
        <f>IF(AQ331="5",BJ331,0)</f>
        <v>0</v>
      </c>
      <c r="AB331" s="46">
        <f>IF(AQ331="1",BH331,0)</f>
        <v>0</v>
      </c>
      <c r="AC331" s="46">
        <f>IF(AQ331="1",BI331,0)</f>
        <v>0</v>
      </c>
      <c r="AD331" s="46">
        <f>IF(AQ331="7",BH331,0)</f>
        <v>0</v>
      </c>
      <c r="AE331" s="46">
        <f>IF(AQ331="7",BI331,0)</f>
        <v>0</v>
      </c>
      <c r="AF331" s="46">
        <f>IF(AQ331="2",BH331,0)</f>
        <v>0</v>
      </c>
      <c r="AG331" s="46">
        <f>IF(AQ331="2",BI331,0)</f>
        <v>0</v>
      </c>
      <c r="AH331" s="46">
        <f>IF(AQ331="0",BJ331,0)</f>
        <v>0</v>
      </c>
      <c r="AI331" s="1" t="s">
        <v>323</v>
      </c>
      <c r="AJ331" s="46">
        <f>IF(AN331=0,M331,0)</f>
        <v>0</v>
      </c>
      <c r="AK331" s="46">
        <f>IF(AN331=15,M331,0)</f>
        <v>0</v>
      </c>
      <c r="AL331" s="46">
        <f>IF(AN331=21,M331,0)</f>
        <v>0</v>
      </c>
      <c r="AN331" s="46">
        <v>21</v>
      </c>
      <c r="AO331" s="46">
        <f>J331*0.282187147688839</f>
        <v>0</v>
      </c>
      <c r="AP331" s="46">
        <f>J331*(1-0.282187147688839)</f>
        <v>0</v>
      </c>
      <c r="AQ331" s="42" t="s">
        <v>1648</v>
      </c>
      <c r="AV331" s="46">
        <f>AW331+AX331</f>
        <v>0</v>
      </c>
      <c r="AW331" s="46">
        <f>I331*AO331</f>
        <v>0</v>
      </c>
      <c r="AX331" s="46">
        <f>I331*AP331</f>
        <v>0</v>
      </c>
      <c r="AY331" s="42" t="s">
        <v>179</v>
      </c>
      <c r="AZ331" s="42" t="s">
        <v>516</v>
      </c>
      <c r="BA331" s="1" t="s">
        <v>1213</v>
      </c>
      <c r="BC331" s="46">
        <f>AW331+AX331</f>
        <v>0</v>
      </c>
      <c r="BD331" s="46">
        <f>J331/(100-BE331)*100</f>
        <v>0</v>
      </c>
      <c r="BE331" s="46">
        <v>0</v>
      </c>
      <c r="BF331" s="46">
        <f>331</f>
        <v>331</v>
      </c>
      <c r="BH331" s="46">
        <f>I331*AO331</f>
        <v>0</v>
      </c>
      <c r="BI331" s="46">
        <f>I331*AP331</f>
        <v>0</v>
      </c>
      <c r="BJ331" s="46">
        <f>I331*J331</f>
        <v>0</v>
      </c>
      <c r="BK331" s="46"/>
      <c r="BL331" s="46">
        <v>11</v>
      </c>
    </row>
    <row r="332" spans="1:15" ht="15" customHeight="1">
      <c r="A332" s="10"/>
      <c r="D332" s="32" t="s">
        <v>1021</v>
      </c>
      <c r="G332" s="32" t="s">
        <v>1163</v>
      </c>
      <c r="I332" s="58">
        <v>52.50000000000001</v>
      </c>
      <c r="O332" s="30"/>
    </row>
    <row r="333" spans="1:64" ht="15" customHeight="1">
      <c r="A333" s="52" t="s">
        <v>905</v>
      </c>
      <c r="B333" s="43" t="s">
        <v>323</v>
      </c>
      <c r="C333" s="43" t="s">
        <v>1679</v>
      </c>
      <c r="D333" s="61" t="s">
        <v>1282</v>
      </c>
      <c r="E333" s="61"/>
      <c r="F333" s="61"/>
      <c r="G333" s="61"/>
      <c r="H333" s="43" t="s">
        <v>1365</v>
      </c>
      <c r="I333" s="46">
        <v>130</v>
      </c>
      <c r="J333" s="46">
        <v>0</v>
      </c>
      <c r="K333" s="46">
        <f>I333*AO333</f>
        <v>0</v>
      </c>
      <c r="L333" s="46">
        <f>I333*AP333</f>
        <v>0</v>
      </c>
      <c r="M333" s="46">
        <f>I333*J333</f>
        <v>0</v>
      </c>
      <c r="N333" s="46">
        <v>0</v>
      </c>
      <c r="O333" s="6" t="s">
        <v>1149</v>
      </c>
      <c r="Z333" s="46">
        <f>IF(AQ333="5",BJ333,0)</f>
        <v>0</v>
      </c>
      <c r="AB333" s="46">
        <f>IF(AQ333="1",BH333,0)</f>
        <v>0</v>
      </c>
      <c r="AC333" s="46">
        <f>IF(AQ333="1",BI333,0)</f>
        <v>0</v>
      </c>
      <c r="AD333" s="46">
        <f>IF(AQ333="7",BH333,0)</f>
        <v>0</v>
      </c>
      <c r="AE333" s="46">
        <f>IF(AQ333="7",BI333,0)</f>
        <v>0</v>
      </c>
      <c r="AF333" s="46">
        <f>IF(AQ333="2",BH333,0)</f>
        <v>0</v>
      </c>
      <c r="AG333" s="46">
        <f>IF(AQ333="2",BI333,0)</f>
        <v>0</v>
      </c>
      <c r="AH333" s="46">
        <f>IF(AQ333="0",BJ333,0)</f>
        <v>0</v>
      </c>
      <c r="AI333" s="1" t="s">
        <v>323</v>
      </c>
      <c r="AJ333" s="46">
        <f>IF(AN333=0,M333,0)</f>
        <v>0</v>
      </c>
      <c r="AK333" s="46">
        <f>IF(AN333=15,M333,0)</f>
        <v>0</v>
      </c>
      <c r="AL333" s="46">
        <f>IF(AN333=21,M333,0)</f>
        <v>0</v>
      </c>
      <c r="AN333" s="46">
        <v>21</v>
      </c>
      <c r="AO333" s="46">
        <f>J333*0</f>
        <v>0</v>
      </c>
      <c r="AP333" s="46">
        <f>J333*(1-0)</f>
        <v>0</v>
      </c>
      <c r="AQ333" s="42" t="s">
        <v>1648</v>
      </c>
      <c r="AV333" s="46">
        <f>AW333+AX333</f>
        <v>0</v>
      </c>
      <c r="AW333" s="46">
        <f>I333*AO333</f>
        <v>0</v>
      </c>
      <c r="AX333" s="46">
        <f>I333*AP333</f>
        <v>0</v>
      </c>
      <c r="AY333" s="42" t="s">
        <v>179</v>
      </c>
      <c r="AZ333" s="42" t="s">
        <v>516</v>
      </c>
      <c r="BA333" s="1" t="s">
        <v>1213</v>
      </c>
      <c r="BC333" s="46">
        <f>AW333+AX333</f>
        <v>0</v>
      </c>
      <c r="BD333" s="46">
        <f>J333/(100-BE333)*100</f>
        <v>0</v>
      </c>
      <c r="BE333" s="46">
        <v>0</v>
      </c>
      <c r="BF333" s="46">
        <f>333</f>
        <v>333</v>
      </c>
      <c r="BH333" s="46">
        <f>I333*AO333</f>
        <v>0</v>
      </c>
      <c r="BI333" s="46">
        <f>I333*AP333</f>
        <v>0</v>
      </c>
      <c r="BJ333" s="46">
        <f>I333*J333</f>
        <v>0</v>
      </c>
      <c r="BK333" s="46"/>
      <c r="BL333" s="46">
        <v>11</v>
      </c>
    </row>
    <row r="334" spans="1:15" ht="15" customHeight="1">
      <c r="A334" s="10"/>
      <c r="D334" s="32" t="s">
        <v>425</v>
      </c>
      <c r="G334" s="32" t="s">
        <v>737</v>
      </c>
      <c r="I334" s="58">
        <v>130</v>
      </c>
      <c r="O334" s="30"/>
    </row>
    <row r="335" spans="1:64" ht="15" customHeight="1">
      <c r="A335" s="52" t="s">
        <v>198</v>
      </c>
      <c r="B335" s="43" t="s">
        <v>323</v>
      </c>
      <c r="C335" s="43" t="s">
        <v>1441</v>
      </c>
      <c r="D335" s="61" t="s">
        <v>276</v>
      </c>
      <c r="E335" s="61"/>
      <c r="F335" s="61"/>
      <c r="G335" s="61"/>
      <c r="H335" s="43" t="s">
        <v>1365</v>
      </c>
      <c r="I335" s="46">
        <v>46</v>
      </c>
      <c r="J335" s="46">
        <v>0</v>
      </c>
      <c r="K335" s="46">
        <f>I335*AO335</f>
        <v>0</v>
      </c>
      <c r="L335" s="46">
        <f>I335*AP335</f>
        <v>0</v>
      </c>
      <c r="M335" s="46">
        <f>I335*J335</f>
        <v>0</v>
      </c>
      <c r="N335" s="46">
        <v>0</v>
      </c>
      <c r="O335" s="6" t="s">
        <v>1149</v>
      </c>
      <c r="Z335" s="46">
        <f>IF(AQ335="5",BJ335,0)</f>
        <v>0</v>
      </c>
      <c r="AB335" s="46">
        <f>IF(AQ335="1",BH335,0)</f>
        <v>0</v>
      </c>
      <c r="AC335" s="46">
        <f>IF(AQ335="1",BI335,0)</f>
        <v>0</v>
      </c>
      <c r="AD335" s="46">
        <f>IF(AQ335="7",BH335,0)</f>
        <v>0</v>
      </c>
      <c r="AE335" s="46">
        <f>IF(AQ335="7",BI335,0)</f>
        <v>0</v>
      </c>
      <c r="AF335" s="46">
        <f>IF(AQ335="2",BH335,0)</f>
        <v>0</v>
      </c>
      <c r="AG335" s="46">
        <f>IF(AQ335="2",BI335,0)</f>
        <v>0</v>
      </c>
      <c r="AH335" s="46">
        <f>IF(AQ335="0",BJ335,0)</f>
        <v>0</v>
      </c>
      <c r="AI335" s="1" t="s">
        <v>323</v>
      </c>
      <c r="AJ335" s="46">
        <f>IF(AN335=0,M335,0)</f>
        <v>0</v>
      </c>
      <c r="AK335" s="46">
        <f>IF(AN335=15,M335,0)</f>
        <v>0</v>
      </c>
      <c r="AL335" s="46">
        <f>IF(AN335=21,M335,0)</f>
        <v>0</v>
      </c>
      <c r="AN335" s="46">
        <v>21</v>
      </c>
      <c r="AO335" s="46">
        <f>J335*0</f>
        <v>0</v>
      </c>
      <c r="AP335" s="46">
        <f>J335*(1-0)</f>
        <v>0</v>
      </c>
      <c r="AQ335" s="42" t="s">
        <v>1648</v>
      </c>
      <c r="AV335" s="46">
        <f>AW335+AX335</f>
        <v>0</v>
      </c>
      <c r="AW335" s="46">
        <f>I335*AO335</f>
        <v>0</v>
      </c>
      <c r="AX335" s="46">
        <f>I335*AP335</f>
        <v>0</v>
      </c>
      <c r="AY335" s="42" t="s">
        <v>179</v>
      </c>
      <c r="AZ335" s="42" t="s">
        <v>516</v>
      </c>
      <c r="BA335" s="1" t="s">
        <v>1213</v>
      </c>
      <c r="BC335" s="46">
        <f>AW335+AX335</f>
        <v>0</v>
      </c>
      <c r="BD335" s="46">
        <f>J335/(100-BE335)*100</f>
        <v>0</v>
      </c>
      <c r="BE335" s="46">
        <v>0</v>
      </c>
      <c r="BF335" s="46">
        <f>335</f>
        <v>335</v>
      </c>
      <c r="BH335" s="46">
        <f>I335*AO335</f>
        <v>0</v>
      </c>
      <c r="BI335" s="46">
        <f>I335*AP335</f>
        <v>0</v>
      </c>
      <c r="BJ335" s="46">
        <f>I335*J335</f>
        <v>0</v>
      </c>
      <c r="BK335" s="46"/>
      <c r="BL335" s="46">
        <v>11</v>
      </c>
    </row>
    <row r="336" spans="1:15" ht="15" customHeight="1">
      <c r="A336" s="10"/>
      <c r="D336" s="32" t="s">
        <v>1806</v>
      </c>
      <c r="G336" s="32" t="s">
        <v>482</v>
      </c>
      <c r="I336" s="58">
        <v>21</v>
      </c>
      <c r="O336" s="30"/>
    </row>
    <row r="337" spans="1:15" ht="15" customHeight="1">
      <c r="A337" s="10"/>
      <c r="D337" s="32" t="s">
        <v>293</v>
      </c>
      <c r="G337" s="32" t="s">
        <v>1402</v>
      </c>
      <c r="I337" s="58">
        <v>25.000000000000004</v>
      </c>
      <c r="O337" s="30"/>
    </row>
    <row r="338" spans="1:64" ht="15" customHeight="1">
      <c r="A338" s="52" t="s">
        <v>867</v>
      </c>
      <c r="B338" s="43" t="s">
        <v>323</v>
      </c>
      <c r="C338" s="43" t="s">
        <v>1281</v>
      </c>
      <c r="D338" s="61" t="s">
        <v>869</v>
      </c>
      <c r="E338" s="61"/>
      <c r="F338" s="61"/>
      <c r="G338" s="61"/>
      <c r="H338" s="43" t="s">
        <v>749</v>
      </c>
      <c r="I338" s="46">
        <v>74.12</v>
      </c>
      <c r="J338" s="46">
        <v>0</v>
      </c>
      <c r="K338" s="46">
        <f>I338*AO338</f>
        <v>0</v>
      </c>
      <c r="L338" s="46">
        <f>I338*AP338</f>
        <v>0</v>
      </c>
      <c r="M338" s="46">
        <f>I338*J338</f>
        <v>0</v>
      </c>
      <c r="N338" s="46">
        <v>0</v>
      </c>
      <c r="O338" s="6" t="s">
        <v>1149</v>
      </c>
      <c r="Z338" s="46">
        <f>IF(AQ338="5",BJ338,0)</f>
        <v>0</v>
      </c>
      <c r="AB338" s="46">
        <f>IF(AQ338="1",BH338,0)</f>
        <v>0</v>
      </c>
      <c r="AC338" s="46">
        <f>IF(AQ338="1",BI338,0)</f>
        <v>0</v>
      </c>
      <c r="AD338" s="46">
        <f>IF(AQ338="7",BH338,0)</f>
        <v>0</v>
      </c>
      <c r="AE338" s="46">
        <f>IF(AQ338="7",BI338,0)</f>
        <v>0</v>
      </c>
      <c r="AF338" s="46">
        <f>IF(AQ338="2",BH338,0)</f>
        <v>0</v>
      </c>
      <c r="AG338" s="46">
        <f>IF(AQ338="2",BI338,0)</f>
        <v>0</v>
      </c>
      <c r="AH338" s="46">
        <f>IF(AQ338="0",BJ338,0)</f>
        <v>0</v>
      </c>
      <c r="AI338" s="1" t="s">
        <v>323</v>
      </c>
      <c r="AJ338" s="46">
        <f>IF(AN338=0,M338,0)</f>
        <v>0</v>
      </c>
      <c r="AK338" s="46">
        <f>IF(AN338=15,M338,0)</f>
        <v>0</v>
      </c>
      <c r="AL338" s="46">
        <f>IF(AN338=21,M338,0)</f>
        <v>0</v>
      </c>
      <c r="AN338" s="46">
        <v>21</v>
      </c>
      <c r="AO338" s="46">
        <f>J338*0</f>
        <v>0</v>
      </c>
      <c r="AP338" s="46">
        <f>J338*(1-0)</f>
        <v>0</v>
      </c>
      <c r="AQ338" s="42" t="s">
        <v>880</v>
      </c>
      <c r="AV338" s="46">
        <f>AW338+AX338</f>
        <v>0</v>
      </c>
      <c r="AW338" s="46">
        <f>I338*AO338</f>
        <v>0</v>
      </c>
      <c r="AX338" s="46">
        <f>I338*AP338</f>
        <v>0</v>
      </c>
      <c r="AY338" s="42" t="s">
        <v>179</v>
      </c>
      <c r="AZ338" s="42" t="s">
        <v>516</v>
      </c>
      <c r="BA338" s="1" t="s">
        <v>1213</v>
      </c>
      <c r="BC338" s="46">
        <f>AW338+AX338</f>
        <v>0</v>
      </c>
      <c r="BD338" s="46">
        <f>J338/(100-BE338)*100</f>
        <v>0</v>
      </c>
      <c r="BE338" s="46">
        <v>0</v>
      </c>
      <c r="BF338" s="46">
        <f>338</f>
        <v>338</v>
      </c>
      <c r="BH338" s="46">
        <f>I338*AO338</f>
        <v>0</v>
      </c>
      <c r="BI338" s="46">
        <f>I338*AP338</f>
        <v>0</v>
      </c>
      <c r="BJ338" s="46">
        <f>I338*J338</f>
        <v>0</v>
      </c>
      <c r="BK338" s="46"/>
      <c r="BL338" s="46">
        <v>11</v>
      </c>
    </row>
    <row r="339" spans="1:15" ht="15" customHeight="1">
      <c r="A339" s="10"/>
      <c r="D339" s="32" t="s">
        <v>133</v>
      </c>
      <c r="G339" s="32" t="s">
        <v>1862</v>
      </c>
      <c r="I339" s="58">
        <v>40.300000000000004</v>
      </c>
      <c r="O339" s="30"/>
    </row>
    <row r="340" spans="1:15" ht="15" customHeight="1">
      <c r="A340" s="10"/>
      <c r="D340" s="32" t="s">
        <v>1128</v>
      </c>
      <c r="G340" s="32" t="s">
        <v>964</v>
      </c>
      <c r="I340" s="58">
        <v>19.32</v>
      </c>
      <c r="O340" s="30"/>
    </row>
    <row r="341" spans="1:15" ht="15" customHeight="1">
      <c r="A341" s="10"/>
      <c r="D341" s="32" t="s">
        <v>1756</v>
      </c>
      <c r="G341" s="32" t="s">
        <v>1402</v>
      </c>
      <c r="I341" s="58">
        <v>14.500000000000002</v>
      </c>
      <c r="O341" s="30"/>
    </row>
    <row r="342" spans="1:64" ht="15" customHeight="1">
      <c r="A342" s="52" t="s">
        <v>113</v>
      </c>
      <c r="B342" s="43" t="s">
        <v>323</v>
      </c>
      <c r="C342" s="43" t="s">
        <v>0</v>
      </c>
      <c r="D342" s="61" t="s">
        <v>406</v>
      </c>
      <c r="E342" s="61"/>
      <c r="F342" s="61"/>
      <c r="G342" s="61"/>
      <c r="H342" s="43" t="s">
        <v>749</v>
      </c>
      <c r="I342" s="46">
        <v>2890.68</v>
      </c>
      <c r="J342" s="46">
        <v>0</v>
      </c>
      <c r="K342" s="46">
        <f>I342*AO342</f>
        <v>0</v>
      </c>
      <c r="L342" s="46">
        <f>I342*AP342</f>
        <v>0</v>
      </c>
      <c r="M342" s="46">
        <f>I342*J342</f>
        <v>0</v>
      </c>
      <c r="N342" s="46">
        <v>0</v>
      </c>
      <c r="O342" s="6" t="s">
        <v>1149</v>
      </c>
      <c r="Z342" s="46">
        <f>IF(AQ342="5",BJ342,0)</f>
        <v>0</v>
      </c>
      <c r="AB342" s="46">
        <f>IF(AQ342="1",BH342,0)</f>
        <v>0</v>
      </c>
      <c r="AC342" s="46">
        <f>IF(AQ342="1",BI342,0)</f>
        <v>0</v>
      </c>
      <c r="AD342" s="46">
        <f>IF(AQ342="7",BH342,0)</f>
        <v>0</v>
      </c>
      <c r="AE342" s="46">
        <f>IF(AQ342="7",BI342,0)</f>
        <v>0</v>
      </c>
      <c r="AF342" s="46">
        <f>IF(AQ342="2",BH342,0)</f>
        <v>0</v>
      </c>
      <c r="AG342" s="46">
        <f>IF(AQ342="2",BI342,0)</f>
        <v>0</v>
      </c>
      <c r="AH342" s="46">
        <f>IF(AQ342="0",BJ342,0)</f>
        <v>0</v>
      </c>
      <c r="AI342" s="1" t="s">
        <v>323</v>
      </c>
      <c r="AJ342" s="46">
        <f>IF(AN342=0,M342,0)</f>
        <v>0</v>
      </c>
      <c r="AK342" s="46">
        <f>IF(AN342=15,M342,0)</f>
        <v>0</v>
      </c>
      <c r="AL342" s="46">
        <f>IF(AN342=21,M342,0)</f>
        <v>0</v>
      </c>
      <c r="AN342" s="46">
        <v>21</v>
      </c>
      <c r="AO342" s="46">
        <f>J342*0</f>
        <v>0</v>
      </c>
      <c r="AP342" s="46">
        <f>J342*(1-0)</f>
        <v>0</v>
      </c>
      <c r="AQ342" s="42" t="s">
        <v>880</v>
      </c>
      <c r="AV342" s="46">
        <f>AW342+AX342</f>
        <v>0</v>
      </c>
      <c r="AW342" s="46">
        <f>I342*AO342</f>
        <v>0</v>
      </c>
      <c r="AX342" s="46">
        <f>I342*AP342</f>
        <v>0</v>
      </c>
      <c r="AY342" s="42" t="s">
        <v>179</v>
      </c>
      <c r="AZ342" s="42" t="s">
        <v>516</v>
      </c>
      <c r="BA342" s="1" t="s">
        <v>1213</v>
      </c>
      <c r="BC342" s="46">
        <f>AW342+AX342</f>
        <v>0</v>
      </c>
      <c r="BD342" s="46">
        <f>J342/(100-BE342)*100</f>
        <v>0</v>
      </c>
      <c r="BE342" s="46">
        <v>0</v>
      </c>
      <c r="BF342" s="46">
        <f>342</f>
        <v>342</v>
      </c>
      <c r="BH342" s="46">
        <f>I342*AO342</f>
        <v>0</v>
      </c>
      <c r="BI342" s="46">
        <f>I342*AP342</f>
        <v>0</v>
      </c>
      <c r="BJ342" s="46">
        <f>I342*J342</f>
        <v>0</v>
      </c>
      <c r="BK342" s="46"/>
      <c r="BL342" s="46">
        <v>11</v>
      </c>
    </row>
    <row r="343" spans="1:15" ht="15" customHeight="1">
      <c r="A343" s="10"/>
      <c r="D343" s="32" t="s">
        <v>959</v>
      </c>
      <c r="G343" s="32" t="s">
        <v>73</v>
      </c>
      <c r="I343" s="58">
        <v>2890.6800000000003</v>
      </c>
      <c r="O343" s="30"/>
    </row>
    <row r="344" spans="1:64" ht="15" customHeight="1">
      <c r="A344" s="52" t="s">
        <v>1788</v>
      </c>
      <c r="B344" s="43" t="s">
        <v>323</v>
      </c>
      <c r="C344" s="43" t="s">
        <v>387</v>
      </c>
      <c r="D344" s="61" t="s">
        <v>1291</v>
      </c>
      <c r="E344" s="61"/>
      <c r="F344" s="61"/>
      <c r="G344" s="61"/>
      <c r="H344" s="43" t="s">
        <v>749</v>
      </c>
      <c r="I344" s="46">
        <v>107.12</v>
      </c>
      <c r="J344" s="46">
        <v>0</v>
      </c>
      <c r="K344" s="46">
        <f>I344*AO344</f>
        <v>0</v>
      </c>
      <c r="L344" s="46">
        <f>I344*AP344</f>
        <v>0</v>
      </c>
      <c r="M344" s="46">
        <f>I344*J344</f>
        <v>0</v>
      </c>
      <c r="N344" s="46">
        <v>0</v>
      </c>
      <c r="O344" s="6" t="s">
        <v>1149</v>
      </c>
      <c r="Z344" s="46">
        <f>IF(AQ344="5",BJ344,0)</f>
        <v>0</v>
      </c>
      <c r="AB344" s="46">
        <f>IF(AQ344="1",BH344,0)</f>
        <v>0</v>
      </c>
      <c r="AC344" s="46">
        <f>IF(AQ344="1",BI344,0)</f>
        <v>0</v>
      </c>
      <c r="AD344" s="46">
        <f>IF(AQ344="7",BH344,0)</f>
        <v>0</v>
      </c>
      <c r="AE344" s="46">
        <f>IF(AQ344="7",BI344,0)</f>
        <v>0</v>
      </c>
      <c r="AF344" s="46">
        <f>IF(AQ344="2",BH344,0)</f>
        <v>0</v>
      </c>
      <c r="AG344" s="46">
        <f>IF(AQ344="2",BI344,0)</f>
        <v>0</v>
      </c>
      <c r="AH344" s="46">
        <f>IF(AQ344="0",BJ344,0)</f>
        <v>0</v>
      </c>
      <c r="AI344" s="1" t="s">
        <v>323</v>
      </c>
      <c r="AJ344" s="46">
        <f>IF(AN344=0,M344,0)</f>
        <v>0</v>
      </c>
      <c r="AK344" s="46">
        <f>IF(AN344=15,M344,0)</f>
        <v>0</v>
      </c>
      <c r="AL344" s="46">
        <f>IF(AN344=21,M344,0)</f>
        <v>0</v>
      </c>
      <c r="AN344" s="46">
        <v>21</v>
      </c>
      <c r="AO344" s="46">
        <f>J344*0</f>
        <v>0</v>
      </c>
      <c r="AP344" s="46">
        <f>J344*(1-0)</f>
        <v>0</v>
      </c>
      <c r="AQ344" s="42" t="s">
        <v>880</v>
      </c>
      <c r="AV344" s="46">
        <f>AW344+AX344</f>
        <v>0</v>
      </c>
      <c r="AW344" s="46">
        <f>I344*AO344</f>
        <v>0</v>
      </c>
      <c r="AX344" s="46">
        <f>I344*AP344</f>
        <v>0</v>
      </c>
      <c r="AY344" s="42" t="s">
        <v>179</v>
      </c>
      <c r="AZ344" s="42" t="s">
        <v>516</v>
      </c>
      <c r="BA344" s="1" t="s">
        <v>1213</v>
      </c>
      <c r="BC344" s="46">
        <f>AW344+AX344</f>
        <v>0</v>
      </c>
      <c r="BD344" s="46">
        <f>J344/(100-BE344)*100</f>
        <v>0</v>
      </c>
      <c r="BE344" s="46">
        <v>0</v>
      </c>
      <c r="BF344" s="46">
        <f>344</f>
        <v>344</v>
      </c>
      <c r="BH344" s="46">
        <f>I344*AO344</f>
        <v>0</v>
      </c>
      <c r="BI344" s="46">
        <f>I344*AP344</f>
        <v>0</v>
      </c>
      <c r="BJ344" s="46">
        <f>I344*J344</f>
        <v>0</v>
      </c>
      <c r="BK344" s="46"/>
      <c r="BL344" s="46">
        <v>11</v>
      </c>
    </row>
    <row r="345" spans="1:15" ht="15" customHeight="1">
      <c r="A345" s="10"/>
      <c r="D345" s="32" t="s">
        <v>384</v>
      </c>
      <c r="G345" s="32" t="s">
        <v>714</v>
      </c>
      <c r="I345" s="58">
        <v>74.12</v>
      </c>
      <c r="O345" s="30"/>
    </row>
    <row r="346" spans="1:15" ht="15" customHeight="1">
      <c r="A346" s="10"/>
      <c r="D346" s="32" t="s">
        <v>715</v>
      </c>
      <c r="G346" s="32" t="s">
        <v>530</v>
      </c>
      <c r="I346" s="58">
        <v>33</v>
      </c>
      <c r="O346" s="30"/>
    </row>
    <row r="347" spans="1:64" ht="15" customHeight="1">
      <c r="A347" s="52" t="s">
        <v>970</v>
      </c>
      <c r="B347" s="43" t="s">
        <v>323</v>
      </c>
      <c r="C347" s="43" t="s">
        <v>982</v>
      </c>
      <c r="D347" s="61" t="s">
        <v>833</v>
      </c>
      <c r="E347" s="61"/>
      <c r="F347" s="61"/>
      <c r="G347" s="61"/>
      <c r="H347" s="43" t="s">
        <v>1629</v>
      </c>
      <c r="I347" s="46">
        <v>608.62</v>
      </c>
      <c r="J347" s="46">
        <v>0</v>
      </c>
      <c r="K347" s="46">
        <f>I347*AO347</f>
        <v>0</v>
      </c>
      <c r="L347" s="46">
        <f>I347*AP347</f>
        <v>0</v>
      </c>
      <c r="M347" s="46">
        <f>I347*J347</f>
        <v>0</v>
      </c>
      <c r="N347" s="46">
        <v>0</v>
      </c>
      <c r="O347" s="6" t="s">
        <v>1149</v>
      </c>
      <c r="Z347" s="46">
        <f>IF(AQ347="5",BJ347,0)</f>
        <v>0</v>
      </c>
      <c r="AB347" s="46">
        <f>IF(AQ347="1",BH347,0)</f>
        <v>0</v>
      </c>
      <c r="AC347" s="46">
        <f>IF(AQ347="1",BI347,0)</f>
        <v>0</v>
      </c>
      <c r="AD347" s="46">
        <f>IF(AQ347="7",BH347,0)</f>
        <v>0</v>
      </c>
      <c r="AE347" s="46">
        <f>IF(AQ347="7",BI347,0)</f>
        <v>0</v>
      </c>
      <c r="AF347" s="46">
        <f>IF(AQ347="2",BH347,0)</f>
        <v>0</v>
      </c>
      <c r="AG347" s="46">
        <f>IF(AQ347="2",BI347,0)</f>
        <v>0</v>
      </c>
      <c r="AH347" s="46">
        <f>IF(AQ347="0",BJ347,0)</f>
        <v>0</v>
      </c>
      <c r="AI347" s="1" t="s">
        <v>323</v>
      </c>
      <c r="AJ347" s="46">
        <f>IF(AN347=0,M347,0)</f>
        <v>0</v>
      </c>
      <c r="AK347" s="46">
        <f>IF(AN347=15,M347,0)</f>
        <v>0</v>
      </c>
      <c r="AL347" s="46">
        <f>IF(AN347=21,M347,0)</f>
        <v>0</v>
      </c>
      <c r="AN347" s="46">
        <v>21</v>
      </c>
      <c r="AO347" s="46">
        <f>J347*0</f>
        <v>0</v>
      </c>
      <c r="AP347" s="46">
        <f>J347*(1-0)</f>
        <v>0</v>
      </c>
      <c r="AQ347" s="42" t="s">
        <v>1648</v>
      </c>
      <c r="AV347" s="46">
        <f>AW347+AX347</f>
        <v>0</v>
      </c>
      <c r="AW347" s="46">
        <f>I347*AO347</f>
        <v>0</v>
      </c>
      <c r="AX347" s="46">
        <f>I347*AP347</f>
        <v>0</v>
      </c>
      <c r="AY347" s="42" t="s">
        <v>179</v>
      </c>
      <c r="AZ347" s="42" t="s">
        <v>516</v>
      </c>
      <c r="BA347" s="1" t="s">
        <v>1213</v>
      </c>
      <c r="BC347" s="46">
        <f>AW347+AX347</f>
        <v>0</v>
      </c>
      <c r="BD347" s="46">
        <f>J347/(100-BE347)*100</f>
        <v>0</v>
      </c>
      <c r="BE347" s="46">
        <v>0</v>
      </c>
      <c r="BF347" s="46">
        <f>347</f>
        <v>347</v>
      </c>
      <c r="BH347" s="46">
        <f>I347*AO347</f>
        <v>0</v>
      </c>
      <c r="BI347" s="46">
        <f>I347*AP347</f>
        <v>0</v>
      </c>
      <c r="BJ347" s="46">
        <f>I347*J347</f>
        <v>0</v>
      </c>
      <c r="BK347" s="46"/>
      <c r="BL347" s="46">
        <v>11</v>
      </c>
    </row>
    <row r="348" spans="1:15" ht="15" customHeight="1">
      <c r="A348" s="10"/>
      <c r="D348" s="32" t="s">
        <v>868</v>
      </c>
      <c r="G348" s="32" t="s">
        <v>1374</v>
      </c>
      <c r="I348" s="58">
        <v>608.62</v>
      </c>
      <c r="O348" s="30"/>
    </row>
    <row r="349" spans="1:64" ht="15" customHeight="1">
      <c r="A349" s="52" t="s">
        <v>668</v>
      </c>
      <c r="B349" s="43" t="s">
        <v>323</v>
      </c>
      <c r="C349" s="43" t="s">
        <v>1868</v>
      </c>
      <c r="D349" s="61" t="s">
        <v>951</v>
      </c>
      <c r="E349" s="61"/>
      <c r="F349" s="61"/>
      <c r="G349" s="61"/>
      <c r="H349" s="43" t="s">
        <v>1629</v>
      </c>
      <c r="I349" s="46">
        <v>608.62</v>
      </c>
      <c r="J349" s="46">
        <v>0</v>
      </c>
      <c r="K349" s="46">
        <f>I349*AO349</f>
        <v>0</v>
      </c>
      <c r="L349" s="46">
        <f>I349*AP349</f>
        <v>0</v>
      </c>
      <c r="M349" s="46">
        <f>I349*J349</f>
        <v>0</v>
      </c>
      <c r="N349" s="46">
        <v>0</v>
      </c>
      <c r="O349" s="6" t="s">
        <v>1149</v>
      </c>
      <c r="Z349" s="46">
        <f>IF(AQ349="5",BJ349,0)</f>
        <v>0</v>
      </c>
      <c r="AB349" s="46">
        <f>IF(AQ349="1",BH349,0)</f>
        <v>0</v>
      </c>
      <c r="AC349" s="46">
        <f>IF(AQ349="1",BI349,0)</f>
        <v>0</v>
      </c>
      <c r="AD349" s="46">
        <f>IF(AQ349="7",BH349,0)</f>
        <v>0</v>
      </c>
      <c r="AE349" s="46">
        <f>IF(AQ349="7",BI349,0)</f>
        <v>0</v>
      </c>
      <c r="AF349" s="46">
        <f>IF(AQ349="2",BH349,0)</f>
        <v>0</v>
      </c>
      <c r="AG349" s="46">
        <f>IF(AQ349="2",BI349,0)</f>
        <v>0</v>
      </c>
      <c r="AH349" s="46">
        <f>IF(AQ349="0",BJ349,0)</f>
        <v>0</v>
      </c>
      <c r="AI349" s="1" t="s">
        <v>323</v>
      </c>
      <c r="AJ349" s="46">
        <f>IF(AN349=0,M349,0)</f>
        <v>0</v>
      </c>
      <c r="AK349" s="46">
        <f>IF(AN349=15,M349,0)</f>
        <v>0</v>
      </c>
      <c r="AL349" s="46">
        <f>IF(AN349=21,M349,0)</f>
        <v>0</v>
      </c>
      <c r="AN349" s="46">
        <v>21</v>
      </c>
      <c r="AO349" s="46">
        <f>J349*0</f>
        <v>0</v>
      </c>
      <c r="AP349" s="46">
        <f>J349*(1-0)</f>
        <v>0</v>
      </c>
      <c r="AQ349" s="42" t="s">
        <v>1648</v>
      </c>
      <c r="AV349" s="46">
        <f>AW349+AX349</f>
        <v>0</v>
      </c>
      <c r="AW349" s="46">
        <f>I349*AO349</f>
        <v>0</v>
      </c>
      <c r="AX349" s="46">
        <f>I349*AP349</f>
        <v>0</v>
      </c>
      <c r="AY349" s="42" t="s">
        <v>179</v>
      </c>
      <c r="AZ349" s="42" t="s">
        <v>516</v>
      </c>
      <c r="BA349" s="1" t="s">
        <v>1213</v>
      </c>
      <c r="BC349" s="46">
        <f>AW349+AX349</f>
        <v>0</v>
      </c>
      <c r="BD349" s="46">
        <f>J349/(100-BE349)*100</f>
        <v>0</v>
      </c>
      <c r="BE349" s="46">
        <v>0</v>
      </c>
      <c r="BF349" s="46">
        <f>349</f>
        <v>349</v>
      </c>
      <c r="BH349" s="46">
        <f>I349*AO349</f>
        <v>0</v>
      </c>
      <c r="BI349" s="46">
        <f>I349*AP349</f>
        <v>0</v>
      </c>
      <c r="BJ349" s="46">
        <f>I349*J349</f>
        <v>0</v>
      </c>
      <c r="BK349" s="46"/>
      <c r="BL349" s="46">
        <v>11</v>
      </c>
    </row>
    <row r="350" spans="1:15" ht="15" customHeight="1">
      <c r="A350" s="10"/>
      <c r="D350" s="32" t="s">
        <v>1652</v>
      </c>
      <c r="G350" s="32" t="s">
        <v>1820</v>
      </c>
      <c r="I350" s="58">
        <v>608.62</v>
      </c>
      <c r="O350" s="30"/>
    </row>
    <row r="351" spans="1:64" ht="15" customHeight="1">
      <c r="A351" s="52" t="s">
        <v>462</v>
      </c>
      <c r="B351" s="43" t="s">
        <v>323</v>
      </c>
      <c r="C351" s="43" t="s">
        <v>654</v>
      </c>
      <c r="D351" s="61" t="s">
        <v>487</v>
      </c>
      <c r="E351" s="61"/>
      <c r="F351" s="61"/>
      <c r="G351" s="61"/>
      <c r="H351" s="43" t="s">
        <v>749</v>
      </c>
      <c r="I351" s="46">
        <v>149.0764</v>
      </c>
      <c r="J351" s="46">
        <v>0</v>
      </c>
      <c r="K351" s="46">
        <f>I351*AO351</f>
        <v>0</v>
      </c>
      <c r="L351" s="46">
        <f>I351*AP351</f>
        <v>0</v>
      </c>
      <c r="M351" s="46">
        <f>I351*J351</f>
        <v>0</v>
      </c>
      <c r="N351" s="46">
        <v>0</v>
      </c>
      <c r="O351" s="6" t="s">
        <v>1149</v>
      </c>
      <c r="Z351" s="46">
        <f>IF(AQ351="5",BJ351,0)</f>
        <v>0</v>
      </c>
      <c r="AB351" s="46">
        <f>IF(AQ351="1",BH351,0)</f>
        <v>0</v>
      </c>
      <c r="AC351" s="46">
        <f>IF(AQ351="1",BI351,0)</f>
        <v>0</v>
      </c>
      <c r="AD351" s="46">
        <f>IF(AQ351="7",BH351,0)</f>
        <v>0</v>
      </c>
      <c r="AE351" s="46">
        <f>IF(AQ351="7",BI351,0)</f>
        <v>0</v>
      </c>
      <c r="AF351" s="46">
        <f>IF(AQ351="2",BH351,0)</f>
        <v>0</v>
      </c>
      <c r="AG351" s="46">
        <f>IF(AQ351="2",BI351,0)</f>
        <v>0</v>
      </c>
      <c r="AH351" s="46">
        <f>IF(AQ351="0",BJ351,0)</f>
        <v>0</v>
      </c>
      <c r="AI351" s="1" t="s">
        <v>323</v>
      </c>
      <c r="AJ351" s="46">
        <f>IF(AN351=0,M351,0)</f>
        <v>0</v>
      </c>
      <c r="AK351" s="46">
        <f>IF(AN351=15,M351,0)</f>
        <v>0</v>
      </c>
      <c r="AL351" s="46">
        <f>IF(AN351=21,M351,0)</f>
        <v>0</v>
      </c>
      <c r="AN351" s="46">
        <v>21</v>
      </c>
      <c r="AO351" s="46">
        <f>J351*0</f>
        <v>0</v>
      </c>
      <c r="AP351" s="46">
        <f>J351*(1-0)</f>
        <v>0</v>
      </c>
      <c r="AQ351" s="42" t="s">
        <v>880</v>
      </c>
      <c r="AV351" s="46">
        <f>AW351+AX351</f>
        <v>0</v>
      </c>
      <c r="AW351" s="46">
        <f>I351*AO351</f>
        <v>0</v>
      </c>
      <c r="AX351" s="46">
        <f>I351*AP351</f>
        <v>0</v>
      </c>
      <c r="AY351" s="42" t="s">
        <v>179</v>
      </c>
      <c r="AZ351" s="42" t="s">
        <v>516</v>
      </c>
      <c r="BA351" s="1" t="s">
        <v>1213</v>
      </c>
      <c r="BC351" s="46">
        <f>AW351+AX351</f>
        <v>0</v>
      </c>
      <c r="BD351" s="46">
        <f>J351/(100-BE351)*100</f>
        <v>0</v>
      </c>
      <c r="BE351" s="46">
        <v>0</v>
      </c>
      <c r="BF351" s="46">
        <f>351</f>
        <v>351</v>
      </c>
      <c r="BH351" s="46">
        <f>I351*AO351</f>
        <v>0</v>
      </c>
      <c r="BI351" s="46">
        <f>I351*AP351</f>
        <v>0</v>
      </c>
      <c r="BJ351" s="46">
        <f>I351*J351</f>
        <v>0</v>
      </c>
      <c r="BK351" s="46"/>
      <c r="BL351" s="46">
        <v>11</v>
      </c>
    </row>
    <row r="352" spans="1:15" ht="15" customHeight="1">
      <c r="A352" s="10"/>
      <c r="D352" s="32" t="s">
        <v>1675</v>
      </c>
      <c r="G352" s="32" t="s">
        <v>1567</v>
      </c>
      <c r="I352" s="58">
        <v>149.0764</v>
      </c>
      <c r="O352" s="30"/>
    </row>
    <row r="353" spans="1:64" ht="15" customHeight="1">
      <c r="A353" s="52" t="s">
        <v>1168</v>
      </c>
      <c r="B353" s="43" t="s">
        <v>323</v>
      </c>
      <c r="C353" s="43" t="s">
        <v>1496</v>
      </c>
      <c r="D353" s="61" t="s">
        <v>1127</v>
      </c>
      <c r="E353" s="61"/>
      <c r="F353" s="61"/>
      <c r="G353" s="61"/>
      <c r="H353" s="43" t="s">
        <v>1629</v>
      </c>
      <c r="I353" s="46">
        <v>69</v>
      </c>
      <c r="J353" s="46">
        <v>0</v>
      </c>
      <c r="K353" s="46">
        <f>I353*AO353</f>
        <v>0</v>
      </c>
      <c r="L353" s="46">
        <f>I353*AP353</f>
        <v>0</v>
      </c>
      <c r="M353" s="46">
        <f>I353*J353</f>
        <v>0</v>
      </c>
      <c r="N353" s="46">
        <v>0</v>
      </c>
      <c r="O353" s="6" t="s">
        <v>1149</v>
      </c>
      <c r="Z353" s="46">
        <f>IF(AQ353="5",BJ353,0)</f>
        <v>0</v>
      </c>
      <c r="AB353" s="46">
        <f>IF(AQ353="1",BH353,0)</f>
        <v>0</v>
      </c>
      <c r="AC353" s="46">
        <f>IF(AQ353="1",BI353,0)</f>
        <v>0</v>
      </c>
      <c r="AD353" s="46">
        <f>IF(AQ353="7",BH353,0)</f>
        <v>0</v>
      </c>
      <c r="AE353" s="46">
        <f>IF(AQ353="7",BI353,0)</f>
        <v>0</v>
      </c>
      <c r="AF353" s="46">
        <f>IF(AQ353="2",BH353,0)</f>
        <v>0</v>
      </c>
      <c r="AG353" s="46">
        <f>IF(AQ353="2",BI353,0)</f>
        <v>0</v>
      </c>
      <c r="AH353" s="46">
        <f>IF(AQ353="0",BJ353,0)</f>
        <v>0</v>
      </c>
      <c r="AI353" s="1" t="s">
        <v>323</v>
      </c>
      <c r="AJ353" s="46">
        <f>IF(AN353=0,M353,0)</f>
        <v>0</v>
      </c>
      <c r="AK353" s="46">
        <f>IF(AN353=15,M353,0)</f>
        <v>0</v>
      </c>
      <c r="AL353" s="46">
        <f>IF(AN353=21,M353,0)</f>
        <v>0</v>
      </c>
      <c r="AN353" s="46">
        <v>21</v>
      </c>
      <c r="AO353" s="46">
        <f>J353*0</f>
        <v>0</v>
      </c>
      <c r="AP353" s="46">
        <f>J353*(1-0)</f>
        <v>0</v>
      </c>
      <c r="AQ353" s="42" t="s">
        <v>1648</v>
      </c>
      <c r="AV353" s="46">
        <f>AW353+AX353</f>
        <v>0</v>
      </c>
      <c r="AW353" s="46">
        <f>I353*AO353</f>
        <v>0</v>
      </c>
      <c r="AX353" s="46">
        <f>I353*AP353</f>
        <v>0</v>
      </c>
      <c r="AY353" s="42" t="s">
        <v>179</v>
      </c>
      <c r="AZ353" s="42" t="s">
        <v>516</v>
      </c>
      <c r="BA353" s="1" t="s">
        <v>1213</v>
      </c>
      <c r="BC353" s="46">
        <f>AW353+AX353</f>
        <v>0</v>
      </c>
      <c r="BD353" s="46">
        <f>J353/(100-BE353)*100</f>
        <v>0</v>
      </c>
      <c r="BE353" s="46">
        <v>0</v>
      </c>
      <c r="BF353" s="46">
        <f>353</f>
        <v>353</v>
      </c>
      <c r="BH353" s="46">
        <f>I353*AO353</f>
        <v>0</v>
      </c>
      <c r="BI353" s="46">
        <f>I353*AP353</f>
        <v>0</v>
      </c>
      <c r="BJ353" s="46">
        <f>I353*J353</f>
        <v>0</v>
      </c>
      <c r="BK353" s="46"/>
      <c r="BL353" s="46">
        <v>11</v>
      </c>
    </row>
    <row r="354" spans="1:15" ht="15" customHeight="1">
      <c r="A354" s="10"/>
      <c r="D354" s="32" t="s">
        <v>328</v>
      </c>
      <c r="G354" s="32" t="s">
        <v>89</v>
      </c>
      <c r="I354" s="58">
        <v>69</v>
      </c>
      <c r="O354" s="30"/>
    </row>
    <row r="355" spans="1:64" ht="15" customHeight="1">
      <c r="A355" s="52" t="s">
        <v>1544</v>
      </c>
      <c r="B355" s="43" t="s">
        <v>323</v>
      </c>
      <c r="C355" s="43" t="s">
        <v>1868</v>
      </c>
      <c r="D355" s="61" t="s">
        <v>951</v>
      </c>
      <c r="E355" s="61"/>
      <c r="F355" s="61"/>
      <c r="G355" s="61"/>
      <c r="H355" s="43" t="s">
        <v>1629</v>
      </c>
      <c r="I355" s="46">
        <v>50</v>
      </c>
      <c r="J355" s="46">
        <v>0</v>
      </c>
      <c r="K355" s="46">
        <f>I355*AO355</f>
        <v>0</v>
      </c>
      <c r="L355" s="46">
        <f>I355*AP355</f>
        <v>0</v>
      </c>
      <c r="M355" s="46">
        <f>I355*J355</f>
        <v>0</v>
      </c>
      <c r="N355" s="46">
        <v>0</v>
      </c>
      <c r="O355" s="6" t="s">
        <v>1149</v>
      </c>
      <c r="Z355" s="46">
        <f>IF(AQ355="5",BJ355,0)</f>
        <v>0</v>
      </c>
      <c r="AB355" s="46">
        <f>IF(AQ355="1",BH355,0)</f>
        <v>0</v>
      </c>
      <c r="AC355" s="46">
        <f>IF(AQ355="1",BI355,0)</f>
        <v>0</v>
      </c>
      <c r="AD355" s="46">
        <f>IF(AQ355="7",BH355,0)</f>
        <v>0</v>
      </c>
      <c r="AE355" s="46">
        <f>IF(AQ355="7",BI355,0)</f>
        <v>0</v>
      </c>
      <c r="AF355" s="46">
        <f>IF(AQ355="2",BH355,0)</f>
        <v>0</v>
      </c>
      <c r="AG355" s="46">
        <f>IF(AQ355="2",BI355,0)</f>
        <v>0</v>
      </c>
      <c r="AH355" s="46">
        <f>IF(AQ355="0",BJ355,0)</f>
        <v>0</v>
      </c>
      <c r="AI355" s="1" t="s">
        <v>323</v>
      </c>
      <c r="AJ355" s="46">
        <f>IF(AN355=0,M355,0)</f>
        <v>0</v>
      </c>
      <c r="AK355" s="46">
        <f>IF(AN355=15,M355,0)</f>
        <v>0</v>
      </c>
      <c r="AL355" s="46">
        <f>IF(AN355=21,M355,0)</f>
        <v>0</v>
      </c>
      <c r="AN355" s="46">
        <v>21</v>
      </c>
      <c r="AO355" s="46">
        <f>J355*0</f>
        <v>0</v>
      </c>
      <c r="AP355" s="46">
        <f>J355*(1-0)</f>
        <v>0</v>
      </c>
      <c r="AQ355" s="42" t="s">
        <v>1648</v>
      </c>
      <c r="AV355" s="46">
        <f>AW355+AX355</f>
        <v>0</v>
      </c>
      <c r="AW355" s="46">
        <f>I355*AO355</f>
        <v>0</v>
      </c>
      <c r="AX355" s="46">
        <f>I355*AP355</f>
        <v>0</v>
      </c>
      <c r="AY355" s="42" t="s">
        <v>179</v>
      </c>
      <c r="AZ355" s="42" t="s">
        <v>516</v>
      </c>
      <c r="BA355" s="1" t="s">
        <v>1213</v>
      </c>
      <c r="BC355" s="46">
        <f>AW355+AX355</f>
        <v>0</v>
      </c>
      <c r="BD355" s="46">
        <f>J355/(100-BE355)*100</f>
        <v>0</v>
      </c>
      <c r="BE355" s="46">
        <v>0</v>
      </c>
      <c r="BF355" s="46">
        <f>355</f>
        <v>355</v>
      </c>
      <c r="BH355" s="46">
        <f>I355*AO355</f>
        <v>0</v>
      </c>
      <c r="BI355" s="46">
        <f>I355*AP355</f>
        <v>0</v>
      </c>
      <c r="BJ355" s="46">
        <f>I355*J355</f>
        <v>0</v>
      </c>
      <c r="BK355" s="46"/>
      <c r="BL355" s="46">
        <v>11</v>
      </c>
    </row>
    <row r="356" spans="1:15" ht="15" customHeight="1">
      <c r="A356" s="10"/>
      <c r="D356" s="32" t="s">
        <v>1356</v>
      </c>
      <c r="G356" s="32" t="s">
        <v>1820</v>
      </c>
      <c r="I356" s="58">
        <v>50.00000000000001</v>
      </c>
      <c r="O356" s="30"/>
    </row>
    <row r="357" spans="1:47" ht="15" customHeight="1">
      <c r="A357" s="3" t="s">
        <v>1163</v>
      </c>
      <c r="B357" s="9" t="s">
        <v>323</v>
      </c>
      <c r="C357" s="9" t="s">
        <v>472</v>
      </c>
      <c r="D357" s="64" t="s">
        <v>16</v>
      </c>
      <c r="E357" s="64"/>
      <c r="F357" s="64"/>
      <c r="G357" s="64"/>
      <c r="H357" s="41" t="s">
        <v>1537</v>
      </c>
      <c r="I357" s="41" t="s">
        <v>1537</v>
      </c>
      <c r="J357" s="41" t="s">
        <v>1537</v>
      </c>
      <c r="K357" s="50">
        <f>SUM(K358:K368)</f>
        <v>0</v>
      </c>
      <c r="L357" s="50">
        <f>SUM(L358:L368)</f>
        <v>0</v>
      </c>
      <c r="M357" s="50">
        <f>SUM(M358:M368)</f>
        <v>0</v>
      </c>
      <c r="N357" s="1" t="s">
        <v>1163</v>
      </c>
      <c r="O357" s="45" t="s">
        <v>1163</v>
      </c>
      <c r="AI357" s="1" t="s">
        <v>323</v>
      </c>
      <c r="AS357" s="50">
        <f>SUM(AJ358:AJ368)</f>
        <v>0</v>
      </c>
      <c r="AT357" s="50">
        <f>SUM(AK358:AK368)</f>
        <v>0</v>
      </c>
      <c r="AU357" s="50">
        <f>SUM(AL358:AL368)</f>
        <v>0</v>
      </c>
    </row>
    <row r="358" spans="1:64" ht="15" customHeight="1">
      <c r="A358" s="52" t="s">
        <v>372</v>
      </c>
      <c r="B358" s="43" t="s">
        <v>323</v>
      </c>
      <c r="C358" s="43" t="s">
        <v>1476</v>
      </c>
      <c r="D358" s="61" t="s">
        <v>226</v>
      </c>
      <c r="E358" s="61"/>
      <c r="F358" s="61"/>
      <c r="G358" s="61"/>
      <c r="H358" s="43" t="s">
        <v>1604</v>
      </c>
      <c r="I358" s="46">
        <v>2185.2</v>
      </c>
      <c r="J358" s="46">
        <v>0</v>
      </c>
      <c r="K358" s="46">
        <f>I358*AO358</f>
        <v>0</v>
      </c>
      <c r="L358" s="46">
        <f>I358*AP358</f>
        <v>0</v>
      </c>
      <c r="M358" s="46">
        <f>I358*J358</f>
        <v>0</v>
      </c>
      <c r="N358" s="46">
        <v>0</v>
      </c>
      <c r="O358" s="6" t="s">
        <v>1149</v>
      </c>
      <c r="Z358" s="46">
        <f>IF(AQ358="5",BJ358,0)</f>
        <v>0</v>
      </c>
      <c r="AB358" s="46">
        <f>IF(AQ358="1",BH358,0)</f>
        <v>0</v>
      </c>
      <c r="AC358" s="46">
        <f>IF(AQ358="1",BI358,0)</f>
        <v>0</v>
      </c>
      <c r="AD358" s="46">
        <f>IF(AQ358="7",BH358,0)</f>
        <v>0</v>
      </c>
      <c r="AE358" s="46">
        <f>IF(AQ358="7",BI358,0)</f>
        <v>0</v>
      </c>
      <c r="AF358" s="46">
        <f>IF(AQ358="2",BH358,0)</f>
        <v>0</v>
      </c>
      <c r="AG358" s="46">
        <f>IF(AQ358="2",BI358,0)</f>
        <v>0</v>
      </c>
      <c r="AH358" s="46">
        <f>IF(AQ358="0",BJ358,0)</f>
        <v>0</v>
      </c>
      <c r="AI358" s="1" t="s">
        <v>323</v>
      </c>
      <c r="AJ358" s="46">
        <f>IF(AN358=0,M358,0)</f>
        <v>0</v>
      </c>
      <c r="AK358" s="46">
        <f>IF(AN358=15,M358,0)</f>
        <v>0</v>
      </c>
      <c r="AL358" s="46">
        <f>IF(AN358=21,M358,0)</f>
        <v>0</v>
      </c>
      <c r="AN358" s="46">
        <v>21</v>
      </c>
      <c r="AO358" s="46">
        <f>J358*0</f>
        <v>0</v>
      </c>
      <c r="AP358" s="46">
        <f>J358*(1-0)</f>
        <v>0</v>
      </c>
      <c r="AQ358" s="42" t="s">
        <v>1648</v>
      </c>
      <c r="AV358" s="46">
        <f>AW358+AX358</f>
        <v>0</v>
      </c>
      <c r="AW358" s="46">
        <f>I358*AO358</f>
        <v>0</v>
      </c>
      <c r="AX358" s="46">
        <f>I358*AP358</f>
        <v>0</v>
      </c>
      <c r="AY358" s="42" t="s">
        <v>1498</v>
      </c>
      <c r="AZ358" s="42" t="s">
        <v>516</v>
      </c>
      <c r="BA358" s="1" t="s">
        <v>1213</v>
      </c>
      <c r="BC358" s="46">
        <f>AW358+AX358</f>
        <v>0</v>
      </c>
      <c r="BD358" s="46">
        <f>J358/(100-BE358)*100</f>
        <v>0</v>
      </c>
      <c r="BE358" s="46">
        <v>0</v>
      </c>
      <c r="BF358" s="46">
        <f>358</f>
        <v>358</v>
      </c>
      <c r="BH358" s="46">
        <f>I358*AO358</f>
        <v>0</v>
      </c>
      <c r="BI358" s="46">
        <f>I358*AP358</f>
        <v>0</v>
      </c>
      <c r="BJ358" s="46">
        <f>I358*J358</f>
        <v>0</v>
      </c>
      <c r="BK358" s="46"/>
      <c r="BL358" s="46">
        <v>13</v>
      </c>
    </row>
    <row r="359" spans="1:15" ht="15" customHeight="1">
      <c r="A359" s="10"/>
      <c r="D359" s="32" t="s">
        <v>895</v>
      </c>
      <c r="G359" s="32" t="s">
        <v>721</v>
      </c>
      <c r="I359" s="58">
        <v>644.4000000000001</v>
      </c>
      <c r="O359" s="30"/>
    </row>
    <row r="360" spans="1:15" ht="15" customHeight="1">
      <c r="A360" s="10"/>
      <c r="D360" s="32" t="s">
        <v>96</v>
      </c>
      <c r="G360" s="32" t="s">
        <v>1807</v>
      </c>
      <c r="I360" s="58">
        <v>676.2</v>
      </c>
      <c r="O360" s="30"/>
    </row>
    <row r="361" spans="1:15" ht="15" customHeight="1">
      <c r="A361" s="10"/>
      <c r="D361" s="32" t="s">
        <v>456</v>
      </c>
      <c r="G361" s="32" t="s">
        <v>1643</v>
      </c>
      <c r="I361" s="58">
        <v>768.6</v>
      </c>
      <c r="O361" s="30"/>
    </row>
    <row r="362" spans="1:15" ht="15" customHeight="1">
      <c r="A362" s="10"/>
      <c r="D362" s="32" t="s">
        <v>1163</v>
      </c>
      <c r="G362" s="32" t="s">
        <v>541</v>
      </c>
      <c r="I362" s="58">
        <v>0</v>
      </c>
      <c r="O362" s="30"/>
    </row>
    <row r="363" spans="1:15" ht="15" customHeight="1">
      <c r="A363" s="10"/>
      <c r="D363" s="32" t="s">
        <v>1040</v>
      </c>
      <c r="G363" s="32" t="s">
        <v>1338</v>
      </c>
      <c r="I363" s="58">
        <v>96.00000000000001</v>
      </c>
      <c r="O363" s="30"/>
    </row>
    <row r="364" spans="1:64" ht="15" customHeight="1">
      <c r="A364" s="52" t="s">
        <v>1745</v>
      </c>
      <c r="B364" s="43" t="s">
        <v>323</v>
      </c>
      <c r="C364" s="43" t="s">
        <v>585</v>
      </c>
      <c r="D364" s="61" t="s">
        <v>1696</v>
      </c>
      <c r="E364" s="61"/>
      <c r="F364" s="61"/>
      <c r="G364" s="61"/>
      <c r="H364" s="43" t="s">
        <v>1604</v>
      </c>
      <c r="I364" s="46">
        <v>132</v>
      </c>
      <c r="J364" s="46">
        <v>0</v>
      </c>
      <c r="K364" s="46">
        <f>I364*AO364</f>
        <v>0</v>
      </c>
      <c r="L364" s="46">
        <f>I364*AP364</f>
        <v>0</v>
      </c>
      <c r="M364" s="46">
        <f>I364*J364</f>
        <v>0</v>
      </c>
      <c r="N364" s="46">
        <v>0</v>
      </c>
      <c r="O364" s="6" t="s">
        <v>1149</v>
      </c>
      <c r="Z364" s="46">
        <f>IF(AQ364="5",BJ364,0)</f>
        <v>0</v>
      </c>
      <c r="AB364" s="46">
        <f>IF(AQ364="1",BH364,0)</f>
        <v>0</v>
      </c>
      <c r="AC364" s="46">
        <f>IF(AQ364="1",BI364,0)</f>
        <v>0</v>
      </c>
      <c r="AD364" s="46">
        <f>IF(AQ364="7",BH364,0)</f>
        <v>0</v>
      </c>
      <c r="AE364" s="46">
        <f>IF(AQ364="7",BI364,0)</f>
        <v>0</v>
      </c>
      <c r="AF364" s="46">
        <f>IF(AQ364="2",BH364,0)</f>
        <v>0</v>
      </c>
      <c r="AG364" s="46">
        <f>IF(AQ364="2",BI364,0)</f>
        <v>0</v>
      </c>
      <c r="AH364" s="46">
        <f>IF(AQ364="0",BJ364,0)</f>
        <v>0</v>
      </c>
      <c r="AI364" s="1" t="s">
        <v>323</v>
      </c>
      <c r="AJ364" s="46">
        <f>IF(AN364=0,M364,0)</f>
        <v>0</v>
      </c>
      <c r="AK364" s="46">
        <f>IF(AN364=15,M364,0)</f>
        <v>0</v>
      </c>
      <c r="AL364" s="46">
        <f>IF(AN364=21,M364,0)</f>
        <v>0</v>
      </c>
      <c r="AN364" s="46">
        <v>21</v>
      </c>
      <c r="AO364" s="46">
        <f>J364*0</f>
        <v>0</v>
      </c>
      <c r="AP364" s="46">
        <f>J364*(1-0)</f>
        <v>0</v>
      </c>
      <c r="AQ364" s="42" t="s">
        <v>1648</v>
      </c>
      <c r="AV364" s="46">
        <f>AW364+AX364</f>
        <v>0</v>
      </c>
      <c r="AW364" s="46">
        <f>I364*AO364</f>
        <v>0</v>
      </c>
      <c r="AX364" s="46">
        <f>I364*AP364</f>
        <v>0</v>
      </c>
      <c r="AY364" s="42" t="s">
        <v>1498</v>
      </c>
      <c r="AZ364" s="42" t="s">
        <v>516</v>
      </c>
      <c r="BA364" s="1" t="s">
        <v>1213</v>
      </c>
      <c r="BC364" s="46">
        <f>AW364+AX364</f>
        <v>0</v>
      </c>
      <c r="BD364" s="46">
        <f>J364/(100-BE364)*100</f>
        <v>0</v>
      </c>
      <c r="BE364" s="46">
        <v>0</v>
      </c>
      <c r="BF364" s="46">
        <f>364</f>
        <v>364</v>
      </c>
      <c r="BH364" s="46">
        <f>I364*AO364</f>
        <v>0</v>
      </c>
      <c r="BI364" s="46">
        <f>I364*AP364</f>
        <v>0</v>
      </c>
      <c r="BJ364" s="46">
        <f>I364*J364</f>
        <v>0</v>
      </c>
      <c r="BK364" s="46"/>
      <c r="BL364" s="46">
        <v>13</v>
      </c>
    </row>
    <row r="365" spans="1:15" ht="15" customHeight="1">
      <c r="A365" s="10"/>
      <c r="D365" s="32" t="s">
        <v>209</v>
      </c>
      <c r="G365" s="32" t="s">
        <v>1163</v>
      </c>
      <c r="I365" s="58">
        <v>29.250000000000004</v>
      </c>
      <c r="O365" s="30"/>
    </row>
    <row r="366" spans="1:15" ht="15" customHeight="1">
      <c r="A366" s="10"/>
      <c r="D366" s="32" t="s">
        <v>550</v>
      </c>
      <c r="G366" s="32" t="s">
        <v>1163</v>
      </c>
      <c r="I366" s="58">
        <v>78.75</v>
      </c>
      <c r="O366" s="30"/>
    </row>
    <row r="367" spans="1:15" ht="15" customHeight="1">
      <c r="A367" s="10"/>
      <c r="D367" s="32" t="s">
        <v>1104</v>
      </c>
      <c r="G367" s="32" t="s">
        <v>1163</v>
      </c>
      <c r="I367" s="58">
        <v>24.000000000000004</v>
      </c>
      <c r="O367" s="30"/>
    </row>
    <row r="368" spans="1:64" ht="15" customHeight="1">
      <c r="A368" s="52" t="s">
        <v>661</v>
      </c>
      <c r="B368" s="43" t="s">
        <v>323</v>
      </c>
      <c r="C368" s="43" t="s">
        <v>126</v>
      </c>
      <c r="D368" s="61" t="s">
        <v>564</v>
      </c>
      <c r="E368" s="61"/>
      <c r="F368" s="61"/>
      <c r="G368" s="61"/>
      <c r="H368" s="43" t="s">
        <v>1604</v>
      </c>
      <c r="I368" s="46">
        <v>15</v>
      </c>
      <c r="J368" s="46">
        <v>0</v>
      </c>
      <c r="K368" s="46">
        <f>I368*AO368</f>
        <v>0</v>
      </c>
      <c r="L368" s="46">
        <f>I368*AP368</f>
        <v>0</v>
      </c>
      <c r="M368" s="46">
        <f>I368*J368</f>
        <v>0</v>
      </c>
      <c r="N368" s="46">
        <v>0</v>
      </c>
      <c r="O368" s="6" t="s">
        <v>1149</v>
      </c>
      <c r="Z368" s="46">
        <f>IF(AQ368="5",BJ368,0)</f>
        <v>0</v>
      </c>
      <c r="AB368" s="46">
        <f>IF(AQ368="1",BH368,0)</f>
        <v>0</v>
      </c>
      <c r="AC368" s="46">
        <f>IF(AQ368="1",BI368,0)</f>
        <v>0</v>
      </c>
      <c r="AD368" s="46">
        <f>IF(AQ368="7",BH368,0)</f>
        <v>0</v>
      </c>
      <c r="AE368" s="46">
        <f>IF(AQ368="7",BI368,0)</f>
        <v>0</v>
      </c>
      <c r="AF368" s="46">
        <f>IF(AQ368="2",BH368,0)</f>
        <v>0</v>
      </c>
      <c r="AG368" s="46">
        <f>IF(AQ368="2",BI368,0)</f>
        <v>0</v>
      </c>
      <c r="AH368" s="46">
        <f>IF(AQ368="0",BJ368,0)</f>
        <v>0</v>
      </c>
      <c r="AI368" s="1" t="s">
        <v>323</v>
      </c>
      <c r="AJ368" s="46">
        <f>IF(AN368=0,M368,0)</f>
        <v>0</v>
      </c>
      <c r="AK368" s="46">
        <f>IF(AN368=15,M368,0)</f>
        <v>0</v>
      </c>
      <c r="AL368" s="46">
        <f>IF(AN368=21,M368,0)</f>
        <v>0</v>
      </c>
      <c r="AN368" s="46">
        <v>21</v>
      </c>
      <c r="AO368" s="46">
        <f>J368*0</f>
        <v>0</v>
      </c>
      <c r="AP368" s="46">
        <f>J368*(1-0)</f>
        <v>0</v>
      </c>
      <c r="AQ368" s="42" t="s">
        <v>1648</v>
      </c>
      <c r="AV368" s="46">
        <f>AW368+AX368</f>
        <v>0</v>
      </c>
      <c r="AW368" s="46">
        <f>I368*AO368</f>
        <v>0</v>
      </c>
      <c r="AX368" s="46">
        <f>I368*AP368</f>
        <v>0</v>
      </c>
      <c r="AY368" s="42" t="s">
        <v>1498</v>
      </c>
      <c r="AZ368" s="42" t="s">
        <v>516</v>
      </c>
      <c r="BA368" s="1" t="s">
        <v>1213</v>
      </c>
      <c r="BC368" s="46">
        <f>AW368+AX368</f>
        <v>0</v>
      </c>
      <c r="BD368" s="46">
        <f>J368/(100-BE368)*100</f>
        <v>0</v>
      </c>
      <c r="BE368" s="46">
        <v>0</v>
      </c>
      <c r="BF368" s="46">
        <f>368</f>
        <v>368</v>
      </c>
      <c r="BH368" s="46">
        <f>I368*AO368</f>
        <v>0</v>
      </c>
      <c r="BI368" s="46">
        <f>I368*AP368</f>
        <v>0</v>
      </c>
      <c r="BJ368" s="46">
        <f>I368*J368</f>
        <v>0</v>
      </c>
      <c r="BK368" s="46"/>
      <c r="BL368" s="46">
        <v>13</v>
      </c>
    </row>
    <row r="369" spans="1:15" ht="15" customHeight="1">
      <c r="A369" s="10"/>
      <c r="D369" s="32" t="s">
        <v>673</v>
      </c>
      <c r="G369" s="32" t="s">
        <v>251</v>
      </c>
      <c r="I369" s="58">
        <v>15.000000000000002</v>
      </c>
      <c r="O369" s="30"/>
    </row>
    <row r="370" spans="1:47" ht="15" customHeight="1">
      <c r="A370" s="3" t="s">
        <v>1163</v>
      </c>
      <c r="B370" s="9" t="s">
        <v>323</v>
      </c>
      <c r="C370" s="9" t="s">
        <v>988</v>
      </c>
      <c r="D370" s="64" t="s">
        <v>958</v>
      </c>
      <c r="E370" s="64"/>
      <c r="F370" s="64"/>
      <c r="G370" s="64"/>
      <c r="H370" s="41" t="s">
        <v>1537</v>
      </c>
      <c r="I370" s="41" t="s">
        <v>1537</v>
      </c>
      <c r="J370" s="41" t="s">
        <v>1537</v>
      </c>
      <c r="K370" s="50">
        <f>SUM(K371:K373)</f>
        <v>0</v>
      </c>
      <c r="L370" s="50">
        <f>SUM(L371:L373)</f>
        <v>0</v>
      </c>
      <c r="M370" s="50">
        <f>SUM(M371:M373)</f>
        <v>0</v>
      </c>
      <c r="N370" s="1" t="s">
        <v>1163</v>
      </c>
      <c r="O370" s="45" t="s">
        <v>1163</v>
      </c>
      <c r="AI370" s="1" t="s">
        <v>323</v>
      </c>
      <c r="AS370" s="50">
        <f>SUM(AJ371:AJ373)</f>
        <v>0</v>
      </c>
      <c r="AT370" s="50">
        <f>SUM(AK371:AK373)</f>
        <v>0</v>
      </c>
      <c r="AU370" s="50">
        <f>SUM(AL371:AL373)</f>
        <v>0</v>
      </c>
    </row>
    <row r="371" spans="1:64" ht="15" customHeight="1">
      <c r="A371" s="52" t="s">
        <v>1522</v>
      </c>
      <c r="B371" s="43" t="s">
        <v>323</v>
      </c>
      <c r="C371" s="43" t="s">
        <v>1614</v>
      </c>
      <c r="D371" s="61" t="s">
        <v>549</v>
      </c>
      <c r="E371" s="61"/>
      <c r="F371" s="61"/>
      <c r="G371" s="61"/>
      <c r="H371" s="43" t="s">
        <v>1365</v>
      </c>
      <c r="I371" s="46">
        <v>10</v>
      </c>
      <c r="J371" s="46">
        <v>0</v>
      </c>
      <c r="K371" s="46">
        <f>I371*AO371</f>
        <v>0</v>
      </c>
      <c r="L371" s="46">
        <f>I371*AP371</f>
        <v>0</v>
      </c>
      <c r="M371" s="46">
        <f>I371*J371</f>
        <v>0</v>
      </c>
      <c r="N371" s="46">
        <v>0.00076</v>
      </c>
      <c r="O371" s="6" t="s">
        <v>1149</v>
      </c>
      <c r="Z371" s="46">
        <f>IF(AQ371="5",BJ371,0)</f>
        <v>0</v>
      </c>
      <c r="AB371" s="46">
        <f>IF(AQ371="1",BH371,0)</f>
        <v>0</v>
      </c>
      <c r="AC371" s="46">
        <f>IF(AQ371="1",BI371,0)</f>
        <v>0</v>
      </c>
      <c r="AD371" s="46">
        <f>IF(AQ371="7",BH371,0)</f>
        <v>0</v>
      </c>
      <c r="AE371" s="46">
        <f>IF(AQ371="7",BI371,0)</f>
        <v>0</v>
      </c>
      <c r="AF371" s="46">
        <f>IF(AQ371="2",BH371,0)</f>
        <v>0</v>
      </c>
      <c r="AG371" s="46">
        <f>IF(AQ371="2",BI371,0)</f>
        <v>0</v>
      </c>
      <c r="AH371" s="46">
        <f>IF(AQ371="0",BJ371,0)</f>
        <v>0</v>
      </c>
      <c r="AI371" s="1" t="s">
        <v>323</v>
      </c>
      <c r="AJ371" s="46">
        <f>IF(AN371=0,M371,0)</f>
        <v>0</v>
      </c>
      <c r="AK371" s="46">
        <f>IF(AN371=15,M371,0)</f>
        <v>0</v>
      </c>
      <c r="AL371" s="46">
        <f>IF(AN371=21,M371,0)</f>
        <v>0</v>
      </c>
      <c r="AN371" s="46">
        <v>21</v>
      </c>
      <c r="AO371" s="46">
        <f>J371*0.0253508005822416</f>
        <v>0</v>
      </c>
      <c r="AP371" s="46">
        <f>J371*(1-0.0253508005822416)</f>
        <v>0</v>
      </c>
      <c r="AQ371" s="42" t="s">
        <v>1648</v>
      </c>
      <c r="AV371" s="46">
        <f>AW371+AX371</f>
        <v>0</v>
      </c>
      <c r="AW371" s="46">
        <f>I371*AO371</f>
        <v>0</v>
      </c>
      <c r="AX371" s="46">
        <f>I371*AP371</f>
        <v>0</v>
      </c>
      <c r="AY371" s="42" t="s">
        <v>1740</v>
      </c>
      <c r="AZ371" s="42" t="s">
        <v>516</v>
      </c>
      <c r="BA371" s="1" t="s">
        <v>1213</v>
      </c>
      <c r="BC371" s="46">
        <f>AW371+AX371</f>
        <v>0</v>
      </c>
      <c r="BD371" s="46">
        <f>J371/(100-BE371)*100</f>
        <v>0</v>
      </c>
      <c r="BE371" s="46">
        <v>0</v>
      </c>
      <c r="BF371" s="46">
        <f>371</f>
        <v>371</v>
      </c>
      <c r="BH371" s="46">
        <f>I371*AO371</f>
        <v>0</v>
      </c>
      <c r="BI371" s="46">
        <f>I371*AP371</f>
        <v>0</v>
      </c>
      <c r="BJ371" s="46">
        <f>I371*J371</f>
        <v>0</v>
      </c>
      <c r="BK371" s="46"/>
      <c r="BL371" s="46">
        <v>14</v>
      </c>
    </row>
    <row r="372" spans="1:15" ht="15" customHeight="1">
      <c r="A372" s="10"/>
      <c r="D372" s="32" t="s">
        <v>1554</v>
      </c>
      <c r="G372" s="32" t="s">
        <v>772</v>
      </c>
      <c r="I372" s="58">
        <v>10</v>
      </c>
      <c r="O372" s="30"/>
    </row>
    <row r="373" spans="1:64" ht="15" customHeight="1">
      <c r="A373" s="52" t="s">
        <v>1231</v>
      </c>
      <c r="B373" s="43" t="s">
        <v>323</v>
      </c>
      <c r="C373" s="43" t="s">
        <v>1784</v>
      </c>
      <c r="D373" s="61" t="s">
        <v>231</v>
      </c>
      <c r="E373" s="61"/>
      <c r="F373" s="61"/>
      <c r="G373" s="61"/>
      <c r="H373" s="43" t="s">
        <v>1365</v>
      </c>
      <c r="I373" s="46">
        <v>10</v>
      </c>
      <c r="J373" s="46">
        <v>0</v>
      </c>
      <c r="K373" s="46">
        <f>I373*AO373</f>
        <v>0</v>
      </c>
      <c r="L373" s="46">
        <f>I373*AP373</f>
        <v>0</v>
      </c>
      <c r="M373" s="46">
        <f>I373*J373</f>
        <v>0</v>
      </c>
      <c r="N373" s="46">
        <v>0.10761</v>
      </c>
      <c r="O373" s="6" t="s">
        <v>1149</v>
      </c>
      <c r="Z373" s="46">
        <f>IF(AQ373="5",BJ373,0)</f>
        <v>0</v>
      </c>
      <c r="AB373" s="46">
        <f>IF(AQ373="1",BH373,0)</f>
        <v>0</v>
      </c>
      <c r="AC373" s="46">
        <f>IF(AQ373="1",BI373,0)</f>
        <v>0</v>
      </c>
      <c r="AD373" s="46">
        <f>IF(AQ373="7",BH373,0)</f>
        <v>0</v>
      </c>
      <c r="AE373" s="46">
        <f>IF(AQ373="7",BI373,0)</f>
        <v>0</v>
      </c>
      <c r="AF373" s="46">
        <f>IF(AQ373="2",BH373,0)</f>
        <v>0</v>
      </c>
      <c r="AG373" s="46">
        <f>IF(AQ373="2",BI373,0)</f>
        <v>0</v>
      </c>
      <c r="AH373" s="46">
        <f>IF(AQ373="0",BJ373,0)</f>
        <v>0</v>
      </c>
      <c r="AI373" s="1" t="s">
        <v>323</v>
      </c>
      <c r="AJ373" s="46">
        <f>IF(AN373=0,M373,0)</f>
        <v>0</v>
      </c>
      <c r="AK373" s="46">
        <f>IF(AN373=15,M373,0)</f>
        <v>0</v>
      </c>
      <c r="AL373" s="46">
        <f>IF(AN373=21,M373,0)</f>
        <v>0</v>
      </c>
      <c r="AN373" s="46">
        <v>21</v>
      </c>
      <c r="AO373" s="46">
        <f>J373*1</f>
        <v>0</v>
      </c>
      <c r="AP373" s="46">
        <f>J373*(1-1)</f>
        <v>0</v>
      </c>
      <c r="AQ373" s="42" t="s">
        <v>1648</v>
      </c>
      <c r="AV373" s="46">
        <f>AW373+AX373</f>
        <v>0</v>
      </c>
      <c r="AW373" s="46">
        <f>I373*AO373</f>
        <v>0</v>
      </c>
      <c r="AX373" s="46">
        <f>I373*AP373</f>
        <v>0</v>
      </c>
      <c r="AY373" s="42" t="s">
        <v>1740</v>
      </c>
      <c r="AZ373" s="42" t="s">
        <v>516</v>
      </c>
      <c r="BA373" s="1" t="s">
        <v>1213</v>
      </c>
      <c r="BC373" s="46">
        <f>AW373+AX373</f>
        <v>0</v>
      </c>
      <c r="BD373" s="46">
        <f>J373/(100-BE373)*100</f>
        <v>0</v>
      </c>
      <c r="BE373" s="46">
        <v>0</v>
      </c>
      <c r="BF373" s="46">
        <f>373</f>
        <v>373</v>
      </c>
      <c r="BH373" s="46">
        <f>I373*AO373</f>
        <v>0</v>
      </c>
      <c r="BI373" s="46">
        <f>I373*AP373</f>
        <v>0</v>
      </c>
      <c r="BJ373" s="46">
        <f>I373*J373</f>
        <v>0</v>
      </c>
      <c r="BK373" s="46"/>
      <c r="BL373" s="46">
        <v>14</v>
      </c>
    </row>
    <row r="374" spans="1:15" ht="15" customHeight="1">
      <c r="A374" s="10"/>
      <c r="D374" s="32" t="s">
        <v>1554</v>
      </c>
      <c r="G374" s="32" t="s">
        <v>1163</v>
      </c>
      <c r="I374" s="58">
        <v>10</v>
      </c>
      <c r="O374" s="30"/>
    </row>
    <row r="375" spans="1:47" ht="15" customHeight="1">
      <c r="A375" s="3" t="s">
        <v>1163</v>
      </c>
      <c r="B375" s="9" t="s">
        <v>323</v>
      </c>
      <c r="C375" s="9" t="s">
        <v>639</v>
      </c>
      <c r="D375" s="64" t="s">
        <v>1434</v>
      </c>
      <c r="E375" s="64"/>
      <c r="F375" s="64"/>
      <c r="G375" s="64"/>
      <c r="H375" s="41" t="s">
        <v>1537</v>
      </c>
      <c r="I375" s="41" t="s">
        <v>1537</v>
      </c>
      <c r="J375" s="41" t="s">
        <v>1537</v>
      </c>
      <c r="K375" s="50">
        <f>SUM(K376:K378)</f>
        <v>0</v>
      </c>
      <c r="L375" s="50">
        <f>SUM(L376:L378)</f>
        <v>0</v>
      </c>
      <c r="M375" s="50">
        <f>SUM(M376:M378)</f>
        <v>0</v>
      </c>
      <c r="N375" s="1" t="s">
        <v>1163</v>
      </c>
      <c r="O375" s="45" t="s">
        <v>1163</v>
      </c>
      <c r="AI375" s="1" t="s">
        <v>323</v>
      </c>
      <c r="AS375" s="50">
        <f>SUM(AJ376:AJ378)</f>
        <v>0</v>
      </c>
      <c r="AT375" s="50">
        <f>SUM(AK376:AK378)</f>
        <v>0</v>
      </c>
      <c r="AU375" s="50">
        <f>SUM(AL376:AL378)</f>
        <v>0</v>
      </c>
    </row>
    <row r="376" spans="1:64" ht="15" customHeight="1">
      <c r="A376" s="52" t="s">
        <v>1562</v>
      </c>
      <c r="B376" s="43" t="s">
        <v>323</v>
      </c>
      <c r="C376" s="43" t="s">
        <v>201</v>
      </c>
      <c r="D376" s="61" t="s">
        <v>494</v>
      </c>
      <c r="E376" s="61"/>
      <c r="F376" s="61"/>
      <c r="G376" s="61"/>
      <c r="H376" s="43" t="s">
        <v>1629</v>
      </c>
      <c r="I376" s="46">
        <v>2980.4</v>
      </c>
      <c r="J376" s="46">
        <v>0</v>
      </c>
      <c r="K376" s="46">
        <f>I376*AO376</f>
        <v>0</v>
      </c>
      <c r="L376" s="46">
        <f>I376*AP376</f>
        <v>0</v>
      </c>
      <c r="M376" s="46">
        <f>I376*J376</f>
        <v>0</v>
      </c>
      <c r="N376" s="46">
        <v>0.00086</v>
      </c>
      <c r="O376" s="6" t="s">
        <v>1149</v>
      </c>
      <c r="Z376" s="46">
        <f>IF(AQ376="5",BJ376,0)</f>
        <v>0</v>
      </c>
      <c r="AB376" s="46">
        <f>IF(AQ376="1",BH376,0)</f>
        <v>0</v>
      </c>
      <c r="AC376" s="46">
        <f>IF(AQ376="1",BI376,0)</f>
        <v>0</v>
      </c>
      <c r="AD376" s="46">
        <f>IF(AQ376="7",BH376,0)</f>
        <v>0</v>
      </c>
      <c r="AE376" s="46">
        <f>IF(AQ376="7",BI376,0)</f>
        <v>0</v>
      </c>
      <c r="AF376" s="46">
        <f>IF(AQ376="2",BH376,0)</f>
        <v>0</v>
      </c>
      <c r="AG376" s="46">
        <f>IF(AQ376="2",BI376,0)</f>
        <v>0</v>
      </c>
      <c r="AH376" s="46">
        <f>IF(AQ376="0",BJ376,0)</f>
        <v>0</v>
      </c>
      <c r="AI376" s="1" t="s">
        <v>323</v>
      </c>
      <c r="AJ376" s="46">
        <f>IF(AN376=0,M376,0)</f>
        <v>0</v>
      </c>
      <c r="AK376" s="46">
        <f>IF(AN376=15,M376,0)</f>
        <v>0</v>
      </c>
      <c r="AL376" s="46">
        <f>IF(AN376=21,M376,0)</f>
        <v>0</v>
      </c>
      <c r="AN376" s="46">
        <v>21</v>
      </c>
      <c r="AO376" s="46">
        <f>J376*0.0997231833910035</f>
        <v>0</v>
      </c>
      <c r="AP376" s="46">
        <f>J376*(1-0.0997231833910035)</f>
        <v>0</v>
      </c>
      <c r="AQ376" s="42" t="s">
        <v>1648</v>
      </c>
      <c r="AV376" s="46">
        <f>AW376+AX376</f>
        <v>0</v>
      </c>
      <c r="AW376" s="46">
        <f>I376*AO376</f>
        <v>0</v>
      </c>
      <c r="AX376" s="46">
        <f>I376*AP376</f>
        <v>0</v>
      </c>
      <c r="AY376" s="42" t="s">
        <v>1180</v>
      </c>
      <c r="AZ376" s="42" t="s">
        <v>516</v>
      </c>
      <c r="BA376" s="1" t="s">
        <v>1213</v>
      </c>
      <c r="BC376" s="46">
        <f>AW376+AX376</f>
        <v>0</v>
      </c>
      <c r="BD376" s="46">
        <f>J376/(100-BE376)*100</f>
        <v>0</v>
      </c>
      <c r="BE376" s="46">
        <v>0</v>
      </c>
      <c r="BF376" s="46">
        <f>376</f>
        <v>376</v>
      </c>
      <c r="BH376" s="46">
        <f>I376*AO376</f>
        <v>0</v>
      </c>
      <c r="BI376" s="46">
        <f>I376*AP376</f>
        <v>0</v>
      </c>
      <c r="BJ376" s="46">
        <f>I376*J376</f>
        <v>0</v>
      </c>
      <c r="BK376" s="46"/>
      <c r="BL376" s="46">
        <v>15</v>
      </c>
    </row>
    <row r="377" spans="1:15" ht="15" customHeight="1">
      <c r="A377" s="10"/>
      <c r="D377" s="32" t="s">
        <v>1613</v>
      </c>
      <c r="G377" s="32" t="s">
        <v>1560</v>
      </c>
      <c r="I377" s="58">
        <v>2980.4</v>
      </c>
      <c r="O377" s="30"/>
    </row>
    <row r="378" spans="1:64" ht="15" customHeight="1">
      <c r="A378" s="52" t="s">
        <v>290</v>
      </c>
      <c r="B378" s="43" t="s">
        <v>323</v>
      </c>
      <c r="C378" s="43" t="s">
        <v>619</v>
      </c>
      <c r="D378" s="61" t="s">
        <v>621</v>
      </c>
      <c r="E378" s="61"/>
      <c r="F378" s="61"/>
      <c r="G378" s="61"/>
      <c r="H378" s="43" t="s">
        <v>1629</v>
      </c>
      <c r="I378" s="46">
        <v>2980.4</v>
      </c>
      <c r="J378" s="46">
        <v>0</v>
      </c>
      <c r="K378" s="46">
        <f>I378*AO378</f>
        <v>0</v>
      </c>
      <c r="L378" s="46">
        <f>I378*AP378</f>
        <v>0</v>
      </c>
      <c r="M378" s="46">
        <f>I378*J378</f>
        <v>0</v>
      </c>
      <c r="N378" s="46">
        <v>0</v>
      </c>
      <c r="O378" s="6" t="s">
        <v>1149</v>
      </c>
      <c r="Z378" s="46">
        <f>IF(AQ378="5",BJ378,0)</f>
        <v>0</v>
      </c>
      <c r="AB378" s="46">
        <f>IF(AQ378="1",BH378,0)</f>
        <v>0</v>
      </c>
      <c r="AC378" s="46">
        <f>IF(AQ378="1",BI378,0)</f>
        <v>0</v>
      </c>
      <c r="AD378" s="46">
        <f>IF(AQ378="7",BH378,0)</f>
        <v>0</v>
      </c>
      <c r="AE378" s="46">
        <f>IF(AQ378="7",BI378,0)</f>
        <v>0</v>
      </c>
      <c r="AF378" s="46">
        <f>IF(AQ378="2",BH378,0)</f>
        <v>0</v>
      </c>
      <c r="AG378" s="46">
        <f>IF(AQ378="2",BI378,0)</f>
        <v>0</v>
      </c>
      <c r="AH378" s="46">
        <f>IF(AQ378="0",BJ378,0)</f>
        <v>0</v>
      </c>
      <c r="AI378" s="1" t="s">
        <v>323</v>
      </c>
      <c r="AJ378" s="46">
        <f>IF(AN378=0,M378,0)</f>
        <v>0</v>
      </c>
      <c r="AK378" s="46">
        <f>IF(AN378=15,M378,0)</f>
        <v>0</v>
      </c>
      <c r="AL378" s="46">
        <f>IF(AN378=21,M378,0)</f>
        <v>0</v>
      </c>
      <c r="AN378" s="46">
        <v>21</v>
      </c>
      <c r="AO378" s="46">
        <f>J378*0</f>
        <v>0</v>
      </c>
      <c r="AP378" s="46">
        <f>J378*(1-0)</f>
        <v>0</v>
      </c>
      <c r="AQ378" s="42" t="s">
        <v>1648</v>
      </c>
      <c r="AV378" s="46">
        <f>AW378+AX378</f>
        <v>0</v>
      </c>
      <c r="AW378" s="46">
        <f>I378*AO378</f>
        <v>0</v>
      </c>
      <c r="AX378" s="46">
        <f>I378*AP378</f>
        <v>0</v>
      </c>
      <c r="AY378" s="42" t="s">
        <v>1180</v>
      </c>
      <c r="AZ378" s="42" t="s">
        <v>516</v>
      </c>
      <c r="BA378" s="1" t="s">
        <v>1213</v>
      </c>
      <c r="BC378" s="46">
        <f>AW378+AX378</f>
        <v>0</v>
      </c>
      <c r="BD378" s="46">
        <f>J378/(100-BE378)*100</f>
        <v>0</v>
      </c>
      <c r="BE378" s="46">
        <v>0</v>
      </c>
      <c r="BF378" s="46">
        <f>378</f>
        <v>378</v>
      </c>
      <c r="BH378" s="46">
        <f>I378*AO378</f>
        <v>0</v>
      </c>
      <c r="BI378" s="46">
        <f>I378*AP378</f>
        <v>0</v>
      </c>
      <c r="BJ378" s="46">
        <f>I378*J378</f>
        <v>0</v>
      </c>
      <c r="BK378" s="46"/>
      <c r="BL378" s="46">
        <v>15</v>
      </c>
    </row>
    <row r="379" spans="1:15" ht="15" customHeight="1">
      <c r="A379" s="10"/>
      <c r="D379" s="32" t="s">
        <v>1410</v>
      </c>
      <c r="G379" s="32" t="s">
        <v>1163</v>
      </c>
      <c r="I379" s="58">
        <v>2980.4</v>
      </c>
      <c r="O379" s="30"/>
    </row>
    <row r="380" spans="1:47" ht="15" customHeight="1">
      <c r="A380" s="3" t="s">
        <v>1163</v>
      </c>
      <c r="B380" s="9" t="s">
        <v>323</v>
      </c>
      <c r="C380" s="9" t="s">
        <v>153</v>
      </c>
      <c r="D380" s="64" t="s">
        <v>1379</v>
      </c>
      <c r="E380" s="64"/>
      <c r="F380" s="64"/>
      <c r="G380" s="64"/>
      <c r="H380" s="41" t="s">
        <v>1537</v>
      </c>
      <c r="I380" s="41" t="s">
        <v>1537</v>
      </c>
      <c r="J380" s="41" t="s">
        <v>1537</v>
      </c>
      <c r="K380" s="50">
        <f>SUM(K381:K384)</f>
        <v>0</v>
      </c>
      <c r="L380" s="50">
        <f>SUM(L381:L384)</f>
        <v>0</v>
      </c>
      <c r="M380" s="50">
        <f>SUM(M381:M384)</f>
        <v>0</v>
      </c>
      <c r="N380" s="1" t="s">
        <v>1163</v>
      </c>
      <c r="O380" s="45" t="s">
        <v>1163</v>
      </c>
      <c r="AI380" s="1" t="s">
        <v>323</v>
      </c>
      <c r="AS380" s="50">
        <f>SUM(AJ381:AJ384)</f>
        <v>0</v>
      </c>
      <c r="AT380" s="50">
        <f>SUM(AK381:AK384)</f>
        <v>0</v>
      </c>
      <c r="AU380" s="50">
        <f>SUM(AL381:AL384)</f>
        <v>0</v>
      </c>
    </row>
    <row r="381" spans="1:64" ht="15" customHeight="1">
      <c r="A381" s="52" t="s">
        <v>767</v>
      </c>
      <c r="B381" s="43" t="s">
        <v>323</v>
      </c>
      <c r="C381" s="43" t="s">
        <v>23</v>
      </c>
      <c r="D381" s="61" t="s">
        <v>1389</v>
      </c>
      <c r="E381" s="61"/>
      <c r="F381" s="61"/>
      <c r="G381" s="61"/>
      <c r="H381" s="43" t="s">
        <v>1604</v>
      </c>
      <c r="I381" s="46">
        <v>715.578</v>
      </c>
      <c r="J381" s="46">
        <v>0</v>
      </c>
      <c r="K381" s="46">
        <f>I381*AO381</f>
        <v>0</v>
      </c>
      <c r="L381" s="46">
        <f>I381*AP381</f>
        <v>0</v>
      </c>
      <c r="M381" s="46">
        <f>I381*J381</f>
        <v>0</v>
      </c>
      <c r="N381" s="46">
        <v>0</v>
      </c>
      <c r="O381" s="6" t="s">
        <v>1149</v>
      </c>
      <c r="Z381" s="46">
        <f>IF(AQ381="5",BJ381,0)</f>
        <v>0</v>
      </c>
      <c r="AB381" s="46">
        <f>IF(AQ381="1",BH381,0)</f>
        <v>0</v>
      </c>
      <c r="AC381" s="46">
        <f>IF(AQ381="1",BI381,0)</f>
        <v>0</v>
      </c>
      <c r="AD381" s="46">
        <f>IF(AQ381="7",BH381,0)</f>
        <v>0</v>
      </c>
      <c r="AE381" s="46">
        <f>IF(AQ381="7",BI381,0)</f>
        <v>0</v>
      </c>
      <c r="AF381" s="46">
        <f>IF(AQ381="2",BH381,0)</f>
        <v>0</v>
      </c>
      <c r="AG381" s="46">
        <f>IF(AQ381="2",BI381,0)</f>
        <v>0</v>
      </c>
      <c r="AH381" s="46">
        <f>IF(AQ381="0",BJ381,0)</f>
        <v>0</v>
      </c>
      <c r="AI381" s="1" t="s">
        <v>323</v>
      </c>
      <c r="AJ381" s="46">
        <f>IF(AN381=0,M381,0)</f>
        <v>0</v>
      </c>
      <c r="AK381" s="46">
        <f>IF(AN381=15,M381,0)</f>
        <v>0</v>
      </c>
      <c r="AL381" s="46">
        <f>IF(AN381=21,M381,0)</f>
        <v>0</v>
      </c>
      <c r="AN381" s="46">
        <v>21</v>
      </c>
      <c r="AO381" s="46">
        <f>J381*0</f>
        <v>0</v>
      </c>
      <c r="AP381" s="46">
        <f>J381*(1-0)</f>
        <v>0</v>
      </c>
      <c r="AQ381" s="42" t="s">
        <v>1648</v>
      </c>
      <c r="AV381" s="46">
        <f>AW381+AX381</f>
        <v>0</v>
      </c>
      <c r="AW381" s="46">
        <f>I381*AO381</f>
        <v>0</v>
      </c>
      <c r="AX381" s="46">
        <f>I381*AP381</f>
        <v>0</v>
      </c>
      <c r="AY381" s="42" t="s">
        <v>1541</v>
      </c>
      <c r="AZ381" s="42" t="s">
        <v>516</v>
      </c>
      <c r="BA381" s="1" t="s">
        <v>1213</v>
      </c>
      <c r="BC381" s="46">
        <f>AW381+AX381</f>
        <v>0</v>
      </c>
      <c r="BD381" s="46">
        <f>J381/(100-BE381)*100</f>
        <v>0</v>
      </c>
      <c r="BE381" s="46">
        <v>0</v>
      </c>
      <c r="BF381" s="46">
        <f>381</f>
        <v>381</v>
      </c>
      <c r="BH381" s="46">
        <f>I381*AO381</f>
        <v>0</v>
      </c>
      <c r="BI381" s="46">
        <f>I381*AP381</f>
        <v>0</v>
      </c>
      <c r="BJ381" s="46">
        <f>I381*J381</f>
        <v>0</v>
      </c>
      <c r="BK381" s="46"/>
      <c r="BL381" s="46">
        <v>16</v>
      </c>
    </row>
    <row r="382" spans="1:15" ht="15" customHeight="1">
      <c r="A382" s="10"/>
      <c r="D382" s="32" t="s">
        <v>1043</v>
      </c>
      <c r="G382" s="32" t="s">
        <v>1398</v>
      </c>
      <c r="I382" s="58">
        <v>472.13000000000005</v>
      </c>
      <c r="O382" s="30"/>
    </row>
    <row r="383" spans="1:15" ht="15" customHeight="1">
      <c r="A383" s="10"/>
      <c r="D383" s="32" t="s">
        <v>552</v>
      </c>
      <c r="G383" s="32" t="s">
        <v>1721</v>
      </c>
      <c r="I383" s="58">
        <v>243.448</v>
      </c>
      <c r="O383" s="30"/>
    </row>
    <row r="384" spans="1:64" ht="15" customHeight="1">
      <c r="A384" s="52" t="s">
        <v>916</v>
      </c>
      <c r="B384" s="43" t="s">
        <v>323</v>
      </c>
      <c r="C384" s="43" t="s">
        <v>758</v>
      </c>
      <c r="D384" s="61" t="s">
        <v>890</v>
      </c>
      <c r="E384" s="61"/>
      <c r="F384" s="61"/>
      <c r="G384" s="61"/>
      <c r="H384" s="43" t="s">
        <v>1604</v>
      </c>
      <c r="I384" s="46">
        <v>21467.34</v>
      </c>
      <c r="J384" s="46">
        <v>0</v>
      </c>
      <c r="K384" s="46">
        <f>I384*AO384</f>
        <v>0</v>
      </c>
      <c r="L384" s="46">
        <f>I384*AP384</f>
        <v>0</v>
      </c>
      <c r="M384" s="46">
        <f>I384*J384</f>
        <v>0</v>
      </c>
      <c r="N384" s="46">
        <v>0</v>
      </c>
      <c r="O384" s="6" t="s">
        <v>1149</v>
      </c>
      <c r="Z384" s="46">
        <f>IF(AQ384="5",BJ384,0)</f>
        <v>0</v>
      </c>
      <c r="AB384" s="46">
        <f>IF(AQ384="1",BH384,0)</f>
        <v>0</v>
      </c>
      <c r="AC384" s="46">
        <f>IF(AQ384="1",BI384,0)</f>
        <v>0</v>
      </c>
      <c r="AD384" s="46">
        <f>IF(AQ384="7",BH384,0)</f>
        <v>0</v>
      </c>
      <c r="AE384" s="46">
        <f>IF(AQ384="7",BI384,0)</f>
        <v>0</v>
      </c>
      <c r="AF384" s="46">
        <f>IF(AQ384="2",BH384,0)</f>
        <v>0</v>
      </c>
      <c r="AG384" s="46">
        <f>IF(AQ384="2",BI384,0)</f>
        <v>0</v>
      </c>
      <c r="AH384" s="46">
        <f>IF(AQ384="0",BJ384,0)</f>
        <v>0</v>
      </c>
      <c r="AI384" s="1" t="s">
        <v>323</v>
      </c>
      <c r="AJ384" s="46">
        <f>IF(AN384=0,M384,0)</f>
        <v>0</v>
      </c>
      <c r="AK384" s="46">
        <f>IF(AN384=15,M384,0)</f>
        <v>0</v>
      </c>
      <c r="AL384" s="46">
        <f>IF(AN384=21,M384,0)</f>
        <v>0</v>
      </c>
      <c r="AN384" s="46">
        <v>21</v>
      </c>
      <c r="AO384" s="46">
        <f>J384*0</f>
        <v>0</v>
      </c>
      <c r="AP384" s="46">
        <f>J384*(1-0)</f>
        <v>0</v>
      </c>
      <c r="AQ384" s="42" t="s">
        <v>1648</v>
      </c>
      <c r="AV384" s="46">
        <f>AW384+AX384</f>
        <v>0</v>
      </c>
      <c r="AW384" s="46">
        <f>I384*AO384</f>
        <v>0</v>
      </c>
      <c r="AX384" s="46">
        <f>I384*AP384</f>
        <v>0</v>
      </c>
      <c r="AY384" s="42" t="s">
        <v>1541</v>
      </c>
      <c r="AZ384" s="42" t="s">
        <v>516</v>
      </c>
      <c r="BA384" s="1" t="s">
        <v>1213</v>
      </c>
      <c r="BC384" s="46">
        <f>AW384+AX384</f>
        <v>0</v>
      </c>
      <c r="BD384" s="46">
        <f>J384/(100-BE384)*100</f>
        <v>0</v>
      </c>
      <c r="BE384" s="46">
        <v>0</v>
      </c>
      <c r="BF384" s="46">
        <f>384</f>
        <v>384</v>
      </c>
      <c r="BH384" s="46">
        <f>I384*AO384</f>
        <v>0</v>
      </c>
      <c r="BI384" s="46">
        <f>I384*AP384</f>
        <v>0</v>
      </c>
      <c r="BJ384" s="46">
        <f>I384*J384</f>
        <v>0</v>
      </c>
      <c r="BK384" s="46"/>
      <c r="BL384" s="46">
        <v>16</v>
      </c>
    </row>
    <row r="385" spans="1:15" ht="15" customHeight="1">
      <c r="A385" s="10"/>
      <c r="D385" s="32" t="s">
        <v>831</v>
      </c>
      <c r="G385" s="32" t="s">
        <v>1688</v>
      </c>
      <c r="I385" s="58">
        <v>21467.34</v>
      </c>
      <c r="O385" s="30"/>
    </row>
    <row r="386" spans="1:47" ht="15" customHeight="1">
      <c r="A386" s="3" t="s">
        <v>1163</v>
      </c>
      <c r="B386" s="9" t="s">
        <v>323</v>
      </c>
      <c r="C386" s="9" t="s">
        <v>1169</v>
      </c>
      <c r="D386" s="64" t="s">
        <v>225</v>
      </c>
      <c r="E386" s="64"/>
      <c r="F386" s="64"/>
      <c r="G386" s="64"/>
      <c r="H386" s="41" t="s">
        <v>1537</v>
      </c>
      <c r="I386" s="41" t="s">
        <v>1537</v>
      </c>
      <c r="J386" s="41" t="s">
        <v>1537</v>
      </c>
      <c r="K386" s="50">
        <f>SUM(K387:K391)</f>
        <v>0</v>
      </c>
      <c r="L386" s="50">
        <f>SUM(L387:L391)</f>
        <v>0</v>
      </c>
      <c r="M386" s="50">
        <f>SUM(M387:M391)</f>
        <v>0</v>
      </c>
      <c r="N386" s="1" t="s">
        <v>1163</v>
      </c>
      <c r="O386" s="45" t="s">
        <v>1163</v>
      </c>
      <c r="AI386" s="1" t="s">
        <v>323</v>
      </c>
      <c r="AS386" s="50">
        <f>SUM(AJ387:AJ391)</f>
        <v>0</v>
      </c>
      <c r="AT386" s="50">
        <f>SUM(AK387:AK391)</f>
        <v>0</v>
      </c>
      <c r="AU386" s="50">
        <f>SUM(AL387:AL391)</f>
        <v>0</v>
      </c>
    </row>
    <row r="387" spans="1:64" ht="15" customHeight="1">
      <c r="A387" s="52" t="s">
        <v>1495</v>
      </c>
      <c r="B387" s="43" t="s">
        <v>323</v>
      </c>
      <c r="C387" s="43" t="s">
        <v>1450</v>
      </c>
      <c r="D387" s="61" t="s">
        <v>47</v>
      </c>
      <c r="E387" s="61"/>
      <c r="F387" s="61"/>
      <c r="G387" s="61"/>
      <c r="H387" s="43" t="s">
        <v>1604</v>
      </c>
      <c r="I387" s="46">
        <v>375.482</v>
      </c>
      <c r="J387" s="46">
        <v>0</v>
      </c>
      <c r="K387" s="46">
        <f>I387*AO387</f>
        <v>0</v>
      </c>
      <c r="L387" s="46">
        <f>I387*AP387</f>
        <v>0</v>
      </c>
      <c r="M387" s="46">
        <f>I387*J387</f>
        <v>0</v>
      </c>
      <c r="N387" s="46">
        <v>1.7</v>
      </c>
      <c r="O387" s="6" t="s">
        <v>1149</v>
      </c>
      <c r="Z387" s="46">
        <f>IF(AQ387="5",BJ387,0)</f>
        <v>0</v>
      </c>
      <c r="AB387" s="46">
        <f>IF(AQ387="1",BH387,0)</f>
        <v>0</v>
      </c>
      <c r="AC387" s="46">
        <f>IF(AQ387="1",BI387,0)</f>
        <v>0</v>
      </c>
      <c r="AD387" s="46">
        <f>IF(AQ387="7",BH387,0)</f>
        <v>0</v>
      </c>
      <c r="AE387" s="46">
        <f>IF(AQ387="7",BI387,0)</f>
        <v>0</v>
      </c>
      <c r="AF387" s="46">
        <f>IF(AQ387="2",BH387,0)</f>
        <v>0</v>
      </c>
      <c r="AG387" s="46">
        <f>IF(AQ387="2",BI387,0)</f>
        <v>0</v>
      </c>
      <c r="AH387" s="46">
        <f>IF(AQ387="0",BJ387,0)</f>
        <v>0</v>
      </c>
      <c r="AI387" s="1" t="s">
        <v>323</v>
      </c>
      <c r="AJ387" s="46">
        <f>IF(AN387=0,M387,0)</f>
        <v>0</v>
      </c>
      <c r="AK387" s="46">
        <f>IF(AN387=15,M387,0)</f>
        <v>0</v>
      </c>
      <c r="AL387" s="46">
        <f>IF(AN387=21,M387,0)</f>
        <v>0</v>
      </c>
      <c r="AN387" s="46">
        <v>21</v>
      </c>
      <c r="AO387" s="46">
        <f>J387*0.503380668173122</f>
        <v>0</v>
      </c>
      <c r="AP387" s="46">
        <f>J387*(1-0.503380668173122)</f>
        <v>0</v>
      </c>
      <c r="AQ387" s="42" t="s">
        <v>1648</v>
      </c>
      <c r="AV387" s="46">
        <f>AW387+AX387</f>
        <v>0</v>
      </c>
      <c r="AW387" s="46">
        <f>I387*AO387</f>
        <v>0</v>
      </c>
      <c r="AX387" s="46">
        <f>I387*AP387</f>
        <v>0</v>
      </c>
      <c r="AY387" s="42" t="s">
        <v>319</v>
      </c>
      <c r="AZ387" s="42" t="s">
        <v>516</v>
      </c>
      <c r="BA387" s="1" t="s">
        <v>1213</v>
      </c>
      <c r="BC387" s="46">
        <f>AW387+AX387</f>
        <v>0</v>
      </c>
      <c r="BD387" s="46">
        <f>J387/(100-BE387)*100</f>
        <v>0</v>
      </c>
      <c r="BE387" s="46">
        <v>0</v>
      </c>
      <c r="BF387" s="46">
        <f>387</f>
        <v>387</v>
      </c>
      <c r="BH387" s="46">
        <f>I387*AO387</f>
        <v>0</v>
      </c>
      <c r="BI387" s="46">
        <f>I387*AP387</f>
        <v>0</v>
      </c>
      <c r="BJ387" s="46">
        <f>I387*J387</f>
        <v>0</v>
      </c>
      <c r="BK387" s="46"/>
      <c r="BL387" s="46">
        <v>17</v>
      </c>
    </row>
    <row r="388" spans="1:15" ht="15" customHeight="1">
      <c r="A388" s="10"/>
      <c r="D388" s="32" t="s">
        <v>897</v>
      </c>
      <c r="G388" s="32" t="s">
        <v>287</v>
      </c>
      <c r="I388" s="58">
        <v>119.97000000000001</v>
      </c>
      <c r="O388" s="30"/>
    </row>
    <row r="389" spans="1:15" ht="15" customHeight="1">
      <c r="A389" s="10"/>
      <c r="D389" s="32" t="s">
        <v>1418</v>
      </c>
      <c r="G389" s="32" t="s">
        <v>1689</v>
      </c>
      <c r="I389" s="58">
        <v>133.25</v>
      </c>
      <c r="O389" s="30"/>
    </row>
    <row r="390" spans="1:15" ht="15" customHeight="1">
      <c r="A390" s="10"/>
      <c r="D390" s="32" t="s">
        <v>1108</v>
      </c>
      <c r="G390" s="32" t="s">
        <v>1829</v>
      </c>
      <c r="I390" s="58">
        <v>122.26200000000001</v>
      </c>
      <c r="O390" s="30"/>
    </row>
    <row r="391" spans="1:64" ht="15" customHeight="1">
      <c r="A391" s="52" t="s">
        <v>1678</v>
      </c>
      <c r="B391" s="43" t="s">
        <v>323</v>
      </c>
      <c r="C391" s="43" t="s">
        <v>1227</v>
      </c>
      <c r="D391" s="61" t="s">
        <v>862</v>
      </c>
      <c r="E391" s="61"/>
      <c r="F391" s="61"/>
      <c r="G391" s="61"/>
      <c r="H391" s="43" t="s">
        <v>1604</v>
      </c>
      <c r="I391" s="46">
        <v>1713.06508</v>
      </c>
      <c r="J391" s="46">
        <v>0</v>
      </c>
      <c r="K391" s="46">
        <f>I391*AO391</f>
        <v>0</v>
      </c>
      <c r="L391" s="46">
        <f>I391*AP391</f>
        <v>0</v>
      </c>
      <c r="M391" s="46">
        <f>I391*J391</f>
        <v>0</v>
      </c>
      <c r="N391" s="46">
        <v>0</v>
      </c>
      <c r="O391" s="6" t="s">
        <v>1149</v>
      </c>
      <c r="Z391" s="46">
        <f>IF(AQ391="5",BJ391,0)</f>
        <v>0</v>
      </c>
      <c r="AB391" s="46">
        <f>IF(AQ391="1",BH391,0)</f>
        <v>0</v>
      </c>
      <c r="AC391" s="46">
        <f>IF(AQ391="1",BI391,0)</f>
        <v>0</v>
      </c>
      <c r="AD391" s="46">
        <f>IF(AQ391="7",BH391,0)</f>
        <v>0</v>
      </c>
      <c r="AE391" s="46">
        <f>IF(AQ391="7",BI391,0)</f>
        <v>0</v>
      </c>
      <c r="AF391" s="46">
        <f>IF(AQ391="2",BH391,0)</f>
        <v>0</v>
      </c>
      <c r="AG391" s="46">
        <f>IF(AQ391="2",BI391,0)</f>
        <v>0</v>
      </c>
      <c r="AH391" s="46">
        <f>IF(AQ391="0",BJ391,0)</f>
        <v>0</v>
      </c>
      <c r="AI391" s="1" t="s">
        <v>323</v>
      </c>
      <c r="AJ391" s="46">
        <f>IF(AN391=0,M391,0)</f>
        <v>0</v>
      </c>
      <c r="AK391" s="46">
        <f>IF(AN391=15,M391,0)</f>
        <v>0</v>
      </c>
      <c r="AL391" s="46">
        <f>IF(AN391=21,M391,0)</f>
        <v>0</v>
      </c>
      <c r="AN391" s="46">
        <v>21</v>
      </c>
      <c r="AO391" s="46">
        <f>J391*0</f>
        <v>0</v>
      </c>
      <c r="AP391" s="46">
        <f>J391*(1-0)</f>
        <v>0</v>
      </c>
      <c r="AQ391" s="42" t="s">
        <v>1648</v>
      </c>
      <c r="AV391" s="46">
        <f>AW391+AX391</f>
        <v>0</v>
      </c>
      <c r="AW391" s="46">
        <f>I391*AO391</f>
        <v>0</v>
      </c>
      <c r="AX391" s="46">
        <f>I391*AP391</f>
        <v>0</v>
      </c>
      <c r="AY391" s="42" t="s">
        <v>319</v>
      </c>
      <c r="AZ391" s="42" t="s">
        <v>516</v>
      </c>
      <c r="BA391" s="1" t="s">
        <v>1213</v>
      </c>
      <c r="BC391" s="46">
        <f>AW391+AX391</f>
        <v>0</v>
      </c>
      <c r="BD391" s="46">
        <f>J391/(100-BE391)*100</f>
        <v>0</v>
      </c>
      <c r="BE391" s="46">
        <v>0</v>
      </c>
      <c r="BF391" s="46">
        <f>391</f>
        <v>391</v>
      </c>
      <c r="BH391" s="46">
        <f>I391*AO391</f>
        <v>0</v>
      </c>
      <c r="BI391" s="46">
        <f>I391*AP391</f>
        <v>0</v>
      </c>
      <c r="BJ391" s="46">
        <f>I391*J391</f>
        <v>0</v>
      </c>
      <c r="BK391" s="46"/>
      <c r="BL391" s="46">
        <v>17</v>
      </c>
    </row>
    <row r="392" spans="1:15" ht="15" customHeight="1">
      <c r="A392" s="10"/>
      <c r="D392" s="32" t="s">
        <v>756</v>
      </c>
      <c r="G392" s="32" t="s">
        <v>821</v>
      </c>
      <c r="I392" s="58">
        <v>2185.2000000000003</v>
      </c>
      <c r="O392" s="30"/>
    </row>
    <row r="393" spans="1:15" ht="15" customHeight="1">
      <c r="A393" s="10"/>
      <c r="D393" s="32" t="s">
        <v>741</v>
      </c>
      <c r="G393" s="32" t="s">
        <v>1148</v>
      </c>
      <c r="I393" s="58">
        <v>-533.8087</v>
      </c>
      <c r="O393" s="30"/>
    </row>
    <row r="394" spans="1:15" ht="15" customHeight="1">
      <c r="A394" s="10"/>
      <c r="D394" s="32" t="s">
        <v>684</v>
      </c>
      <c r="G394" s="32" t="s">
        <v>1343</v>
      </c>
      <c r="I394" s="58">
        <v>-61.799220000000005</v>
      </c>
      <c r="O394" s="30"/>
    </row>
    <row r="395" spans="1:15" ht="15" customHeight="1">
      <c r="A395" s="10"/>
      <c r="D395" s="32" t="s">
        <v>1594</v>
      </c>
      <c r="G395" s="32" t="s">
        <v>295</v>
      </c>
      <c r="I395" s="58">
        <v>-24.280990000000003</v>
      </c>
      <c r="O395" s="30"/>
    </row>
    <row r="396" spans="1:15" ht="15" customHeight="1">
      <c r="A396" s="10"/>
      <c r="D396" s="32" t="s">
        <v>1660</v>
      </c>
      <c r="G396" s="32" t="s">
        <v>1088</v>
      </c>
      <c r="I396" s="58">
        <v>-45.86598</v>
      </c>
      <c r="O396" s="30"/>
    </row>
    <row r="397" spans="1:15" ht="15" customHeight="1">
      <c r="A397" s="10"/>
      <c r="D397" s="32" t="s">
        <v>454</v>
      </c>
      <c r="G397" s="32" t="s">
        <v>197</v>
      </c>
      <c r="I397" s="58">
        <v>-49.828030000000005</v>
      </c>
      <c r="O397" s="30"/>
    </row>
    <row r="398" spans="1:15" ht="15" customHeight="1">
      <c r="A398" s="10"/>
      <c r="D398" s="32" t="s">
        <v>1147</v>
      </c>
      <c r="G398" s="32" t="s">
        <v>56</v>
      </c>
      <c r="I398" s="58">
        <v>243.448</v>
      </c>
      <c r="O398" s="30"/>
    </row>
    <row r="399" spans="1:47" ht="15" customHeight="1">
      <c r="A399" s="3" t="s">
        <v>1163</v>
      </c>
      <c r="B399" s="9" t="s">
        <v>323</v>
      </c>
      <c r="C399" s="9" t="s">
        <v>1070</v>
      </c>
      <c r="D399" s="64" t="s">
        <v>567</v>
      </c>
      <c r="E399" s="64"/>
      <c r="F399" s="64"/>
      <c r="G399" s="64"/>
      <c r="H399" s="41" t="s">
        <v>1537</v>
      </c>
      <c r="I399" s="41" t="s">
        <v>1537</v>
      </c>
      <c r="J399" s="41" t="s">
        <v>1537</v>
      </c>
      <c r="K399" s="50">
        <f>SUM(K400:K400)</f>
        <v>0</v>
      </c>
      <c r="L399" s="50">
        <f>SUM(L400:L400)</f>
        <v>0</v>
      </c>
      <c r="M399" s="50">
        <f>SUM(M400:M400)</f>
        <v>0</v>
      </c>
      <c r="N399" s="1" t="s">
        <v>1163</v>
      </c>
      <c r="O399" s="45" t="s">
        <v>1163</v>
      </c>
      <c r="AI399" s="1" t="s">
        <v>323</v>
      </c>
      <c r="AS399" s="50">
        <f>SUM(AJ400:AJ400)</f>
        <v>0</v>
      </c>
      <c r="AT399" s="50">
        <f>SUM(AK400:AK400)</f>
        <v>0</v>
      </c>
      <c r="AU399" s="50">
        <f>SUM(AL400:AL400)</f>
        <v>0</v>
      </c>
    </row>
    <row r="400" spans="1:64" ht="15" customHeight="1">
      <c r="A400" s="52" t="s">
        <v>11</v>
      </c>
      <c r="B400" s="43" t="s">
        <v>323</v>
      </c>
      <c r="C400" s="43" t="s">
        <v>1145</v>
      </c>
      <c r="D400" s="61" t="s">
        <v>1601</v>
      </c>
      <c r="E400" s="61"/>
      <c r="F400" s="61"/>
      <c r="G400" s="61"/>
      <c r="H400" s="43" t="s">
        <v>1604</v>
      </c>
      <c r="I400" s="46">
        <v>715.578</v>
      </c>
      <c r="J400" s="46">
        <v>0</v>
      </c>
      <c r="K400" s="46">
        <f>I400*AO400</f>
        <v>0</v>
      </c>
      <c r="L400" s="46">
        <f>I400*AP400</f>
        <v>0</v>
      </c>
      <c r="M400" s="46">
        <f>I400*J400</f>
        <v>0</v>
      </c>
      <c r="N400" s="46">
        <v>0</v>
      </c>
      <c r="O400" s="6" t="s">
        <v>1149</v>
      </c>
      <c r="Z400" s="46">
        <f>IF(AQ400="5",BJ400,0)</f>
        <v>0</v>
      </c>
      <c r="AB400" s="46">
        <f>IF(AQ400="1",BH400,0)</f>
        <v>0</v>
      </c>
      <c r="AC400" s="46">
        <f>IF(AQ400="1",BI400,0)</f>
        <v>0</v>
      </c>
      <c r="AD400" s="46">
        <f>IF(AQ400="7",BH400,0)</f>
        <v>0</v>
      </c>
      <c r="AE400" s="46">
        <f>IF(AQ400="7",BI400,0)</f>
        <v>0</v>
      </c>
      <c r="AF400" s="46">
        <f>IF(AQ400="2",BH400,0)</f>
        <v>0</v>
      </c>
      <c r="AG400" s="46">
        <f>IF(AQ400="2",BI400,0)</f>
        <v>0</v>
      </c>
      <c r="AH400" s="46">
        <f>IF(AQ400="0",BJ400,0)</f>
        <v>0</v>
      </c>
      <c r="AI400" s="1" t="s">
        <v>323</v>
      </c>
      <c r="AJ400" s="46">
        <f>IF(AN400=0,M400,0)</f>
        <v>0</v>
      </c>
      <c r="AK400" s="46">
        <f>IF(AN400=15,M400,0)</f>
        <v>0</v>
      </c>
      <c r="AL400" s="46">
        <f>IF(AN400=21,M400,0)</f>
        <v>0</v>
      </c>
      <c r="AN400" s="46">
        <v>21</v>
      </c>
      <c r="AO400" s="46">
        <f>J400*0</f>
        <v>0</v>
      </c>
      <c r="AP400" s="46">
        <f>J400*(1-0)</f>
        <v>0</v>
      </c>
      <c r="AQ400" s="42" t="s">
        <v>1648</v>
      </c>
      <c r="AV400" s="46">
        <f>AW400+AX400</f>
        <v>0</v>
      </c>
      <c r="AW400" s="46">
        <f>I400*AO400</f>
        <v>0</v>
      </c>
      <c r="AX400" s="46">
        <f>I400*AP400</f>
        <v>0</v>
      </c>
      <c r="AY400" s="42" t="s">
        <v>1313</v>
      </c>
      <c r="AZ400" s="42" t="s">
        <v>516</v>
      </c>
      <c r="BA400" s="1" t="s">
        <v>1213</v>
      </c>
      <c r="BC400" s="46">
        <f>AW400+AX400</f>
        <v>0</v>
      </c>
      <c r="BD400" s="46">
        <f>J400/(100-BE400)*100</f>
        <v>0</v>
      </c>
      <c r="BE400" s="46">
        <v>0</v>
      </c>
      <c r="BF400" s="46">
        <f>400</f>
        <v>400</v>
      </c>
      <c r="BH400" s="46">
        <f>I400*AO400</f>
        <v>0</v>
      </c>
      <c r="BI400" s="46">
        <f>I400*AP400</f>
        <v>0</v>
      </c>
      <c r="BJ400" s="46">
        <f>I400*J400</f>
        <v>0</v>
      </c>
      <c r="BK400" s="46"/>
      <c r="BL400" s="46">
        <v>19</v>
      </c>
    </row>
    <row r="401" spans="1:15" ht="15" customHeight="1">
      <c r="A401" s="10"/>
      <c r="D401" s="32" t="s">
        <v>578</v>
      </c>
      <c r="G401" s="32" t="s">
        <v>1398</v>
      </c>
      <c r="I401" s="58">
        <v>715.5780000000001</v>
      </c>
      <c r="O401" s="30"/>
    </row>
    <row r="402" spans="1:47" ht="15" customHeight="1">
      <c r="A402" s="3" t="s">
        <v>1163</v>
      </c>
      <c r="B402" s="9" t="s">
        <v>323</v>
      </c>
      <c r="C402" s="9" t="s">
        <v>572</v>
      </c>
      <c r="D402" s="64" t="s">
        <v>1299</v>
      </c>
      <c r="E402" s="64"/>
      <c r="F402" s="64"/>
      <c r="G402" s="64"/>
      <c r="H402" s="41" t="s">
        <v>1537</v>
      </c>
      <c r="I402" s="41" t="s">
        <v>1537</v>
      </c>
      <c r="J402" s="41" t="s">
        <v>1537</v>
      </c>
      <c r="K402" s="50">
        <f>SUM(K403:K407)</f>
        <v>0</v>
      </c>
      <c r="L402" s="50">
        <f>SUM(L403:L407)</f>
        <v>0</v>
      </c>
      <c r="M402" s="50">
        <f>SUM(M403:M407)</f>
        <v>0</v>
      </c>
      <c r="N402" s="1" t="s">
        <v>1163</v>
      </c>
      <c r="O402" s="45" t="s">
        <v>1163</v>
      </c>
      <c r="AI402" s="1" t="s">
        <v>323</v>
      </c>
      <c r="AS402" s="50">
        <f>SUM(AJ403:AJ407)</f>
        <v>0</v>
      </c>
      <c r="AT402" s="50">
        <f>SUM(AK403:AK407)</f>
        <v>0</v>
      </c>
      <c r="AU402" s="50">
        <f>SUM(AL403:AL407)</f>
        <v>0</v>
      </c>
    </row>
    <row r="403" spans="1:64" ht="15" customHeight="1">
      <c r="A403" s="52" t="s">
        <v>60</v>
      </c>
      <c r="B403" s="43" t="s">
        <v>323</v>
      </c>
      <c r="C403" s="43" t="s">
        <v>1186</v>
      </c>
      <c r="D403" s="61" t="s">
        <v>474</v>
      </c>
      <c r="E403" s="61"/>
      <c r="F403" s="61"/>
      <c r="G403" s="61"/>
      <c r="H403" s="43" t="s">
        <v>1604</v>
      </c>
      <c r="I403" s="46">
        <v>154.7267</v>
      </c>
      <c r="J403" s="46">
        <v>0</v>
      </c>
      <c r="K403" s="46">
        <f>I403*AO403</f>
        <v>0</v>
      </c>
      <c r="L403" s="46">
        <f>I403*AP403</f>
        <v>0</v>
      </c>
      <c r="M403" s="46">
        <f>I403*J403</f>
        <v>0</v>
      </c>
      <c r="N403" s="46">
        <v>1.89077</v>
      </c>
      <c r="O403" s="6" t="s">
        <v>1149</v>
      </c>
      <c r="Z403" s="46">
        <f>IF(AQ403="5",BJ403,0)</f>
        <v>0</v>
      </c>
      <c r="AB403" s="46">
        <f>IF(AQ403="1",BH403,0)</f>
        <v>0</v>
      </c>
      <c r="AC403" s="46">
        <f>IF(AQ403="1",BI403,0)</f>
        <v>0</v>
      </c>
      <c r="AD403" s="46">
        <f>IF(AQ403="7",BH403,0)</f>
        <v>0</v>
      </c>
      <c r="AE403" s="46">
        <f>IF(AQ403="7",BI403,0)</f>
        <v>0</v>
      </c>
      <c r="AF403" s="46">
        <f>IF(AQ403="2",BH403,0)</f>
        <v>0</v>
      </c>
      <c r="AG403" s="46">
        <f>IF(AQ403="2",BI403,0)</f>
        <v>0</v>
      </c>
      <c r="AH403" s="46">
        <f>IF(AQ403="0",BJ403,0)</f>
        <v>0</v>
      </c>
      <c r="AI403" s="1" t="s">
        <v>323</v>
      </c>
      <c r="AJ403" s="46">
        <f>IF(AN403=0,M403,0)</f>
        <v>0</v>
      </c>
      <c r="AK403" s="46">
        <f>IF(AN403=15,M403,0)</f>
        <v>0</v>
      </c>
      <c r="AL403" s="46">
        <f>IF(AN403=21,M403,0)</f>
        <v>0</v>
      </c>
      <c r="AN403" s="46">
        <v>21</v>
      </c>
      <c r="AO403" s="46">
        <f>J403*0.480904551320592</f>
        <v>0</v>
      </c>
      <c r="AP403" s="46">
        <f>J403*(1-0.480904551320592)</f>
        <v>0</v>
      </c>
      <c r="AQ403" s="42" t="s">
        <v>1648</v>
      </c>
      <c r="AV403" s="46">
        <f>AW403+AX403</f>
        <v>0</v>
      </c>
      <c r="AW403" s="46">
        <f>I403*AO403</f>
        <v>0</v>
      </c>
      <c r="AX403" s="46">
        <f>I403*AP403</f>
        <v>0</v>
      </c>
      <c r="AY403" s="42" t="s">
        <v>802</v>
      </c>
      <c r="AZ403" s="42" t="s">
        <v>1549</v>
      </c>
      <c r="BA403" s="1" t="s">
        <v>1213</v>
      </c>
      <c r="BC403" s="46">
        <f>AW403+AX403</f>
        <v>0</v>
      </c>
      <c r="BD403" s="46">
        <f>J403/(100-BE403)*100</f>
        <v>0</v>
      </c>
      <c r="BE403" s="46">
        <v>0</v>
      </c>
      <c r="BF403" s="46">
        <f>403</f>
        <v>403</v>
      </c>
      <c r="BH403" s="46">
        <f>I403*AO403</f>
        <v>0</v>
      </c>
      <c r="BI403" s="46">
        <f>I403*AP403</f>
        <v>0</v>
      </c>
      <c r="BJ403" s="46">
        <f>I403*J403</f>
        <v>0</v>
      </c>
      <c r="BK403" s="46"/>
      <c r="BL403" s="46">
        <v>45</v>
      </c>
    </row>
    <row r="404" spans="1:15" ht="15" customHeight="1">
      <c r="A404" s="10"/>
      <c r="D404" s="32" t="s">
        <v>1516</v>
      </c>
      <c r="G404" s="32" t="s">
        <v>274</v>
      </c>
      <c r="I404" s="58">
        <v>41.602500000000006</v>
      </c>
      <c r="O404" s="30"/>
    </row>
    <row r="405" spans="1:15" ht="15" customHeight="1">
      <c r="A405" s="10"/>
      <c r="D405" s="32" t="s">
        <v>352</v>
      </c>
      <c r="G405" s="32" t="s">
        <v>485</v>
      </c>
      <c r="I405" s="58">
        <v>59.150000000000006</v>
      </c>
      <c r="O405" s="30"/>
    </row>
    <row r="406" spans="1:15" ht="15" customHeight="1">
      <c r="A406" s="10"/>
      <c r="D406" s="32" t="s">
        <v>498</v>
      </c>
      <c r="G406" s="32" t="s">
        <v>1433</v>
      </c>
      <c r="I406" s="58">
        <v>53.9742</v>
      </c>
      <c r="O406" s="30"/>
    </row>
    <row r="407" spans="1:64" ht="15" customHeight="1">
      <c r="A407" s="52" t="s">
        <v>97</v>
      </c>
      <c r="B407" s="43" t="s">
        <v>323</v>
      </c>
      <c r="C407" s="43" t="s">
        <v>1336</v>
      </c>
      <c r="D407" s="61" t="s">
        <v>1794</v>
      </c>
      <c r="E407" s="61"/>
      <c r="F407" s="61"/>
      <c r="G407" s="61"/>
      <c r="H407" s="43" t="s">
        <v>1604</v>
      </c>
      <c r="I407" s="46">
        <v>3.6</v>
      </c>
      <c r="J407" s="46">
        <v>0</v>
      </c>
      <c r="K407" s="46">
        <f>I407*AO407</f>
        <v>0</v>
      </c>
      <c r="L407" s="46">
        <f>I407*AP407</f>
        <v>0</v>
      </c>
      <c r="M407" s="46">
        <f>I407*J407</f>
        <v>0</v>
      </c>
      <c r="N407" s="46">
        <v>2.5</v>
      </c>
      <c r="O407" s="6" t="s">
        <v>1149</v>
      </c>
      <c r="Z407" s="46">
        <f>IF(AQ407="5",BJ407,0)</f>
        <v>0</v>
      </c>
      <c r="AB407" s="46">
        <f>IF(AQ407="1",BH407,0)</f>
        <v>0</v>
      </c>
      <c r="AC407" s="46">
        <f>IF(AQ407="1",BI407,0)</f>
        <v>0</v>
      </c>
      <c r="AD407" s="46">
        <f>IF(AQ407="7",BH407,0)</f>
        <v>0</v>
      </c>
      <c r="AE407" s="46">
        <f>IF(AQ407="7",BI407,0)</f>
        <v>0</v>
      </c>
      <c r="AF407" s="46">
        <f>IF(AQ407="2",BH407,0)</f>
        <v>0</v>
      </c>
      <c r="AG407" s="46">
        <f>IF(AQ407="2",BI407,0)</f>
        <v>0</v>
      </c>
      <c r="AH407" s="46">
        <f>IF(AQ407="0",BJ407,0)</f>
        <v>0</v>
      </c>
      <c r="AI407" s="1" t="s">
        <v>323</v>
      </c>
      <c r="AJ407" s="46">
        <f>IF(AN407=0,M407,0)</f>
        <v>0</v>
      </c>
      <c r="AK407" s="46">
        <f>IF(AN407=15,M407,0)</f>
        <v>0</v>
      </c>
      <c r="AL407" s="46">
        <f>IF(AN407=21,M407,0)</f>
        <v>0</v>
      </c>
      <c r="AN407" s="46">
        <v>21</v>
      </c>
      <c r="AO407" s="46">
        <f>J407*0.786681350954479</f>
        <v>0</v>
      </c>
      <c r="AP407" s="46">
        <f>J407*(1-0.786681350954479)</f>
        <v>0</v>
      </c>
      <c r="AQ407" s="42" t="s">
        <v>1648</v>
      </c>
      <c r="AV407" s="46">
        <f>AW407+AX407</f>
        <v>0</v>
      </c>
      <c r="AW407" s="46">
        <f>I407*AO407</f>
        <v>0</v>
      </c>
      <c r="AX407" s="46">
        <f>I407*AP407</f>
        <v>0</v>
      </c>
      <c r="AY407" s="42" t="s">
        <v>802</v>
      </c>
      <c r="AZ407" s="42" t="s">
        <v>1549</v>
      </c>
      <c r="BA407" s="1" t="s">
        <v>1213</v>
      </c>
      <c r="BC407" s="46">
        <f>AW407+AX407</f>
        <v>0</v>
      </c>
      <c r="BD407" s="46">
        <f>J407/(100-BE407)*100</f>
        <v>0</v>
      </c>
      <c r="BE407" s="46">
        <v>0</v>
      </c>
      <c r="BF407" s="46">
        <f>407</f>
        <v>407</v>
      </c>
      <c r="BH407" s="46">
        <f>I407*AO407</f>
        <v>0</v>
      </c>
      <c r="BI407" s="46">
        <f>I407*AP407</f>
        <v>0</v>
      </c>
      <c r="BJ407" s="46">
        <f>I407*J407</f>
        <v>0</v>
      </c>
      <c r="BK407" s="46"/>
      <c r="BL407" s="46">
        <v>45</v>
      </c>
    </row>
    <row r="408" spans="1:15" ht="15" customHeight="1">
      <c r="A408" s="10"/>
      <c r="D408" s="32" t="s">
        <v>776</v>
      </c>
      <c r="G408" s="32" t="s">
        <v>1033</v>
      </c>
      <c r="I408" s="58">
        <v>3.6</v>
      </c>
      <c r="O408" s="30"/>
    </row>
    <row r="409" spans="1:47" ht="15" customHeight="1">
      <c r="A409" s="3" t="s">
        <v>1163</v>
      </c>
      <c r="B409" s="9" t="s">
        <v>323</v>
      </c>
      <c r="C409" s="9" t="s">
        <v>1063</v>
      </c>
      <c r="D409" s="64" t="s">
        <v>1529</v>
      </c>
      <c r="E409" s="64"/>
      <c r="F409" s="64"/>
      <c r="G409" s="64"/>
      <c r="H409" s="41" t="s">
        <v>1537</v>
      </c>
      <c r="I409" s="41" t="s">
        <v>1537</v>
      </c>
      <c r="J409" s="41" t="s">
        <v>1537</v>
      </c>
      <c r="K409" s="50">
        <f>SUM(K410:K414)</f>
        <v>0</v>
      </c>
      <c r="L409" s="50">
        <f>SUM(L410:L414)</f>
        <v>0</v>
      </c>
      <c r="M409" s="50">
        <f>SUM(M410:M414)</f>
        <v>0</v>
      </c>
      <c r="N409" s="1" t="s">
        <v>1163</v>
      </c>
      <c r="O409" s="45" t="s">
        <v>1163</v>
      </c>
      <c r="AI409" s="1" t="s">
        <v>323</v>
      </c>
      <c r="AS409" s="50">
        <f>SUM(AJ410:AJ414)</f>
        <v>0</v>
      </c>
      <c r="AT409" s="50">
        <f>SUM(AK410:AK414)</f>
        <v>0</v>
      </c>
      <c r="AU409" s="50">
        <f>SUM(AL410:AL414)</f>
        <v>0</v>
      </c>
    </row>
    <row r="410" spans="1:64" ht="15" customHeight="1">
      <c r="A410" s="52" t="s">
        <v>1245</v>
      </c>
      <c r="B410" s="43" t="s">
        <v>323</v>
      </c>
      <c r="C410" s="43" t="s">
        <v>83</v>
      </c>
      <c r="D410" s="61" t="s">
        <v>1585</v>
      </c>
      <c r="E410" s="61"/>
      <c r="F410" s="61"/>
      <c r="G410" s="61"/>
      <c r="H410" s="43" t="s">
        <v>1629</v>
      </c>
      <c r="I410" s="46">
        <v>50</v>
      </c>
      <c r="J410" s="46">
        <v>0</v>
      </c>
      <c r="K410" s="46">
        <f>I410*AO410</f>
        <v>0</v>
      </c>
      <c r="L410" s="46">
        <f>I410*AP410</f>
        <v>0</v>
      </c>
      <c r="M410" s="46">
        <f>I410*J410</f>
        <v>0</v>
      </c>
      <c r="N410" s="46">
        <v>0.378</v>
      </c>
      <c r="O410" s="6" t="s">
        <v>1149</v>
      </c>
      <c r="Z410" s="46">
        <f>IF(AQ410="5",BJ410,0)</f>
        <v>0</v>
      </c>
      <c r="AB410" s="46">
        <f>IF(AQ410="1",BH410,0)</f>
        <v>0</v>
      </c>
      <c r="AC410" s="46">
        <f>IF(AQ410="1",BI410,0)</f>
        <v>0</v>
      </c>
      <c r="AD410" s="46">
        <f>IF(AQ410="7",BH410,0)</f>
        <v>0</v>
      </c>
      <c r="AE410" s="46">
        <f>IF(AQ410="7",BI410,0)</f>
        <v>0</v>
      </c>
      <c r="AF410" s="46">
        <f>IF(AQ410="2",BH410,0)</f>
        <v>0</v>
      </c>
      <c r="AG410" s="46">
        <f>IF(AQ410="2",BI410,0)</f>
        <v>0</v>
      </c>
      <c r="AH410" s="46">
        <f>IF(AQ410="0",BJ410,0)</f>
        <v>0</v>
      </c>
      <c r="AI410" s="1" t="s">
        <v>323</v>
      </c>
      <c r="AJ410" s="46">
        <f>IF(AN410=0,M410,0)</f>
        <v>0</v>
      </c>
      <c r="AK410" s="46">
        <f>IF(AN410=15,M410,0)</f>
        <v>0</v>
      </c>
      <c r="AL410" s="46">
        <f>IF(AN410=21,M410,0)</f>
        <v>0</v>
      </c>
      <c r="AN410" s="46">
        <v>21</v>
      </c>
      <c r="AO410" s="46">
        <f>J410*0.843538461538462</f>
        <v>0</v>
      </c>
      <c r="AP410" s="46">
        <f>J410*(1-0.843538461538462)</f>
        <v>0</v>
      </c>
      <c r="AQ410" s="42" t="s">
        <v>1648</v>
      </c>
      <c r="AV410" s="46">
        <f>AW410+AX410</f>
        <v>0</v>
      </c>
      <c r="AW410" s="46">
        <f>I410*AO410</f>
        <v>0</v>
      </c>
      <c r="AX410" s="46">
        <f>I410*AP410</f>
        <v>0</v>
      </c>
      <c r="AY410" s="42" t="s">
        <v>1727</v>
      </c>
      <c r="AZ410" s="42" t="s">
        <v>1346</v>
      </c>
      <c r="BA410" s="1" t="s">
        <v>1213</v>
      </c>
      <c r="BC410" s="46">
        <f>AW410+AX410</f>
        <v>0</v>
      </c>
      <c r="BD410" s="46">
        <f>J410/(100-BE410)*100</f>
        <v>0</v>
      </c>
      <c r="BE410" s="46">
        <v>0</v>
      </c>
      <c r="BF410" s="46">
        <f>410</f>
        <v>410</v>
      </c>
      <c r="BH410" s="46">
        <f>I410*AO410</f>
        <v>0</v>
      </c>
      <c r="BI410" s="46">
        <f>I410*AP410</f>
        <v>0</v>
      </c>
      <c r="BJ410" s="46">
        <f>I410*J410</f>
        <v>0</v>
      </c>
      <c r="BK410" s="46"/>
      <c r="BL410" s="46">
        <v>56</v>
      </c>
    </row>
    <row r="411" spans="1:15" ht="15" customHeight="1">
      <c r="A411" s="10"/>
      <c r="D411" s="32" t="s">
        <v>1356</v>
      </c>
      <c r="G411" s="32" t="s">
        <v>442</v>
      </c>
      <c r="I411" s="58">
        <v>50.00000000000001</v>
      </c>
      <c r="O411" s="30"/>
    </row>
    <row r="412" spans="1:64" ht="15" customHeight="1">
      <c r="A412" s="52" t="s">
        <v>1841</v>
      </c>
      <c r="B412" s="43" t="s">
        <v>323</v>
      </c>
      <c r="C412" s="43" t="s">
        <v>807</v>
      </c>
      <c r="D412" s="61" t="s">
        <v>1585</v>
      </c>
      <c r="E412" s="61"/>
      <c r="F412" s="61"/>
      <c r="G412" s="61"/>
      <c r="H412" s="43" t="s">
        <v>1629</v>
      </c>
      <c r="I412" s="46">
        <v>50</v>
      </c>
      <c r="J412" s="46">
        <v>0</v>
      </c>
      <c r="K412" s="46">
        <f>I412*AO412</f>
        <v>0</v>
      </c>
      <c r="L412" s="46">
        <f>I412*AP412</f>
        <v>0</v>
      </c>
      <c r="M412" s="46">
        <f>I412*J412</f>
        <v>0</v>
      </c>
      <c r="N412" s="46">
        <v>0.378</v>
      </c>
      <c r="O412" s="6" t="s">
        <v>1149</v>
      </c>
      <c r="Z412" s="46">
        <f>IF(AQ412="5",BJ412,0)</f>
        <v>0</v>
      </c>
      <c r="AB412" s="46">
        <f>IF(AQ412="1",BH412,0)</f>
        <v>0</v>
      </c>
      <c r="AC412" s="46">
        <f>IF(AQ412="1",BI412,0)</f>
        <v>0</v>
      </c>
      <c r="AD412" s="46">
        <f>IF(AQ412="7",BH412,0)</f>
        <v>0</v>
      </c>
      <c r="AE412" s="46">
        <f>IF(AQ412="7",BI412,0)</f>
        <v>0</v>
      </c>
      <c r="AF412" s="46">
        <f>IF(AQ412="2",BH412,0)</f>
        <v>0</v>
      </c>
      <c r="AG412" s="46">
        <f>IF(AQ412="2",BI412,0)</f>
        <v>0</v>
      </c>
      <c r="AH412" s="46">
        <f>IF(AQ412="0",BJ412,0)</f>
        <v>0</v>
      </c>
      <c r="AI412" s="1" t="s">
        <v>323</v>
      </c>
      <c r="AJ412" s="46">
        <f>IF(AN412=0,M412,0)</f>
        <v>0</v>
      </c>
      <c r="AK412" s="46">
        <f>IF(AN412=15,M412,0)</f>
        <v>0</v>
      </c>
      <c r="AL412" s="46">
        <f>IF(AN412=21,M412,0)</f>
        <v>0</v>
      </c>
      <c r="AN412" s="46">
        <v>21</v>
      </c>
      <c r="AO412" s="46">
        <f>J412*0.832821917808219</f>
        <v>0</v>
      </c>
      <c r="AP412" s="46">
        <f>J412*(1-0.832821917808219)</f>
        <v>0</v>
      </c>
      <c r="AQ412" s="42" t="s">
        <v>1648</v>
      </c>
      <c r="AV412" s="46">
        <f>AW412+AX412</f>
        <v>0</v>
      </c>
      <c r="AW412" s="46">
        <f>I412*AO412</f>
        <v>0</v>
      </c>
      <c r="AX412" s="46">
        <f>I412*AP412</f>
        <v>0</v>
      </c>
      <c r="AY412" s="42" t="s">
        <v>1727</v>
      </c>
      <c r="AZ412" s="42" t="s">
        <v>1346</v>
      </c>
      <c r="BA412" s="1" t="s">
        <v>1213</v>
      </c>
      <c r="BC412" s="46">
        <f>AW412+AX412</f>
        <v>0</v>
      </c>
      <c r="BD412" s="46">
        <f>J412/(100-BE412)*100</f>
        <v>0</v>
      </c>
      <c r="BE412" s="46">
        <v>0</v>
      </c>
      <c r="BF412" s="46">
        <f>412</f>
        <v>412</v>
      </c>
      <c r="BH412" s="46">
        <f>I412*AO412</f>
        <v>0</v>
      </c>
      <c r="BI412" s="46">
        <f>I412*AP412</f>
        <v>0</v>
      </c>
      <c r="BJ412" s="46">
        <f>I412*J412</f>
        <v>0</v>
      </c>
      <c r="BK412" s="46"/>
      <c r="BL412" s="46">
        <v>56</v>
      </c>
    </row>
    <row r="413" spans="1:15" ht="15" customHeight="1">
      <c r="A413" s="10"/>
      <c r="D413" s="32" t="s">
        <v>1356</v>
      </c>
      <c r="G413" s="32" t="s">
        <v>442</v>
      </c>
      <c r="I413" s="58">
        <v>50.00000000000001</v>
      </c>
      <c r="O413" s="30"/>
    </row>
    <row r="414" spans="1:64" ht="15" customHeight="1">
      <c r="A414" s="52" t="s">
        <v>451</v>
      </c>
      <c r="B414" s="43" t="s">
        <v>323</v>
      </c>
      <c r="C414" s="43" t="s">
        <v>1204</v>
      </c>
      <c r="D414" s="61" t="s">
        <v>658</v>
      </c>
      <c r="E414" s="61"/>
      <c r="F414" s="61"/>
      <c r="G414" s="61"/>
      <c r="H414" s="43" t="s">
        <v>1629</v>
      </c>
      <c r="I414" s="46">
        <v>50</v>
      </c>
      <c r="J414" s="46">
        <v>0</v>
      </c>
      <c r="K414" s="46">
        <f>I414*AO414</f>
        <v>0</v>
      </c>
      <c r="L414" s="46">
        <f>I414*AP414</f>
        <v>0</v>
      </c>
      <c r="M414" s="46">
        <f>I414*J414</f>
        <v>0</v>
      </c>
      <c r="N414" s="46">
        <v>0.23737</v>
      </c>
      <c r="O414" s="6" t="s">
        <v>1149</v>
      </c>
      <c r="Z414" s="46">
        <f>IF(AQ414="5",BJ414,0)</f>
        <v>0</v>
      </c>
      <c r="AB414" s="46">
        <f>IF(AQ414="1",BH414,0)</f>
        <v>0</v>
      </c>
      <c r="AC414" s="46">
        <f>IF(AQ414="1",BI414,0)</f>
        <v>0</v>
      </c>
      <c r="AD414" s="46">
        <f>IF(AQ414="7",BH414,0)</f>
        <v>0</v>
      </c>
      <c r="AE414" s="46">
        <f>IF(AQ414="7",BI414,0)</f>
        <v>0</v>
      </c>
      <c r="AF414" s="46">
        <f>IF(AQ414="2",BH414,0)</f>
        <v>0</v>
      </c>
      <c r="AG414" s="46">
        <f>IF(AQ414="2",BI414,0)</f>
        <v>0</v>
      </c>
      <c r="AH414" s="46">
        <f>IF(AQ414="0",BJ414,0)</f>
        <v>0</v>
      </c>
      <c r="AI414" s="1" t="s">
        <v>323</v>
      </c>
      <c r="AJ414" s="46">
        <f>IF(AN414=0,M414,0)</f>
        <v>0</v>
      </c>
      <c r="AK414" s="46">
        <f>IF(AN414=15,M414,0)</f>
        <v>0</v>
      </c>
      <c r="AL414" s="46">
        <f>IF(AN414=21,M414,0)</f>
        <v>0</v>
      </c>
      <c r="AN414" s="46">
        <v>21</v>
      </c>
      <c r="AO414" s="46">
        <f>J414*0.878931315521925</f>
        <v>0</v>
      </c>
      <c r="AP414" s="46">
        <f>J414*(1-0.878931315521925)</f>
        <v>0</v>
      </c>
      <c r="AQ414" s="42" t="s">
        <v>1648</v>
      </c>
      <c r="AV414" s="46">
        <f>AW414+AX414</f>
        <v>0</v>
      </c>
      <c r="AW414" s="46">
        <f>I414*AO414</f>
        <v>0</v>
      </c>
      <c r="AX414" s="46">
        <f>I414*AP414</f>
        <v>0</v>
      </c>
      <c r="AY414" s="42" t="s">
        <v>1727</v>
      </c>
      <c r="AZ414" s="42" t="s">
        <v>1346</v>
      </c>
      <c r="BA414" s="1" t="s">
        <v>1213</v>
      </c>
      <c r="BC414" s="46">
        <f>AW414+AX414</f>
        <v>0</v>
      </c>
      <c r="BD414" s="46">
        <f>J414/(100-BE414)*100</f>
        <v>0</v>
      </c>
      <c r="BE414" s="46">
        <v>0</v>
      </c>
      <c r="BF414" s="46">
        <f>414</f>
        <v>414</v>
      </c>
      <c r="BH414" s="46">
        <f>I414*AO414</f>
        <v>0</v>
      </c>
      <c r="BI414" s="46">
        <f>I414*AP414</f>
        <v>0</v>
      </c>
      <c r="BJ414" s="46">
        <f>I414*J414</f>
        <v>0</v>
      </c>
      <c r="BK414" s="46"/>
      <c r="BL414" s="46">
        <v>56</v>
      </c>
    </row>
    <row r="415" spans="1:15" ht="15" customHeight="1">
      <c r="A415" s="10"/>
      <c r="D415" s="32" t="s">
        <v>1356</v>
      </c>
      <c r="G415" s="32" t="s">
        <v>442</v>
      </c>
      <c r="I415" s="58">
        <v>50.00000000000001</v>
      </c>
      <c r="O415" s="30"/>
    </row>
    <row r="416" spans="1:47" ht="15" customHeight="1">
      <c r="A416" s="3" t="s">
        <v>1163</v>
      </c>
      <c r="B416" s="9" t="s">
        <v>323</v>
      </c>
      <c r="C416" s="9" t="s">
        <v>1581</v>
      </c>
      <c r="D416" s="64" t="s">
        <v>1120</v>
      </c>
      <c r="E416" s="64"/>
      <c r="F416" s="64"/>
      <c r="G416" s="64"/>
      <c r="H416" s="41" t="s">
        <v>1537</v>
      </c>
      <c r="I416" s="41" t="s">
        <v>1537</v>
      </c>
      <c r="J416" s="41" t="s">
        <v>1537</v>
      </c>
      <c r="K416" s="50">
        <f>SUM(K417:K424)</f>
        <v>0</v>
      </c>
      <c r="L416" s="50">
        <f>SUM(L417:L424)</f>
        <v>0</v>
      </c>
      <c r="M416" s="50">
        <f>SUM(M417:M424)</f>
        <v>0</v>
      </c>
      <c r="N416" s="1" t="s">
        <v>1163</v>
      </c>
      <c r="O416" s="45" t="s">
        <v>1163</v>
      </c>
      <c r="AI416" s="1" t="s">
        <v>323</v>
      </c>
      <c r="AS416" s="50">
        <f>SUM(AJ417:AJ424)</f>
        <v>0</v>
      </c>
      <c r="AT416" s="50">
        <f>SUM(AK417:AK424)</f>
        <v>0</v>
      </c>
      <c r="AU416" s="50">
        <f>SUM(AL417:AL424)</f>
        <v>0</v>
      </c>
    </row>
    <row r="417" spans="1:64" ht="15" customHeight="1">
      <c r="A417" s="52" t="s">
        <v>112</v>
      </c>
      <c r="B417" s="43" t="s">
        <v>323</v>
      </c>
      <c r="C417" s="43" t="s">
        <v>1054</v>
      </c>
      <c r="D417" s="61" t="s">
        <v>477</v>
      </c>
      <c r="E417" s="61"/>
      <c r="F417" s="61"/>
      <c r="G417" s="61"/>
      <c r="H417" s="43" t="s">
        <v>1629</v>
      </c>
      <c r="I417" s="46">
        <v>69</v>
      </c>
      <c r="J417" s="46">
        <v>0</v>
      </c>
      <c r="K417" s="46">
        <f>I417*AO417</f>
        <v>0</v>
      </c>
      <c r="L417" s="46">
        <f>I417*AP417</f>
        <v>0</v>
      </c>
      <c r="M417" s="46">
        <f>I417*J417</f>
        <v>0</v>
      </c>
      <c r="N417" s="46">
        <v>0.18152</v>
      </c>
      <c r="O417" s="6" t="s">
        <v>1149</v>
      </c>
      <c r="Z417" s="46">
        <f>IF(AQ417="5",BJ417,0)</f>
        <v>0</v>
      </c>
      <c r="AB417" s="46">
        <f>IF(AQ417="1",BH417,0)</f>
        <v>0</v>
      </c>
      <c r="AC417" s="46">
        <f>IF(AQ417="1",BI417,0)</f>
        <v>0</v>
      </c>
      <c r="AD417" s="46">
        <f>IF(AQ417="7",BH417,0)</f>
        <v>0</v>
      </c>
      <c r="AE417" s="46">
        <f>IF(AQ417="7",BI417,0)</f>
        <v>0</v>
      </c>
      <c r="AF417" s="46">
        <f>IF(AQ417="2",BH417,0)</f>
        <v>0</v>
      </c>
      <c r="AG417" s="46">
        <f>IF(AQ417="2",BI417,0)</f>
        <v>0</v>
      </c>
      <c r="AH417" s="46">
        <f>IF(AQ417="0",BJ417,0)</f>
        <v>0</v>
      </c>
      <c r="AI417" s="1" t="s">
        <v>323</v>
      </c>
      <c r="AJ417" s="46">
        <f>IF(AN417=0,M417,0)</f>
        <v>0</v>
      </c>
      <c r="AK417" s="46">
        <f>IF(AN417=15,M417,0)</f>
        <v>0</v>
      </c>
      <c r="AL417" s="46">
        <f>IF(AN417=21,M417,0)</f>
        <v>0</v>
      </c>
      <c r="AN417" s="46">
        <v>21</v>
      </c>
      <c r="AO417" s="46">
        <f>J417*0.90011013215859</f>
        <v>0</v>
      </c>
      <c r="AP417" s="46">
        <f>J417*(1-0.90011013215859)</f>
        <v>0</v>
      </c>
      <c r="AQ417" s="42" t="s">
        <v>1648</v>
      </c>
      <c r="AV417" s="46">
        <f>AW417+AX417</f>
        <v>0</v>
      </c>
      <c r="AW417" s="46">
        <f>I417*AO417</f>
        <v>0</v>
      </c>
      <c r="AX417" s="46">
        <f>I417*AP417</f>
        <v>0</v>
      </c>
      <c r="AY417" s="42" t="s">
        <v>648</v>
      </c>
      <c r="AZ417" s="42" t="s">
        <v>1346</v>
      </c>
      <c r="BA417" s="1" t="s">
        <v>1213</v>
      </c>
      <c r="BC417" s="46">
        <f>AW417+AX417</f>
        <v>0</v>
      </c>
      <c r="BD417" s="46">
        <f>J417/(100-BE417)*100</f>
        <v>0</v>
      </c>
      <c r="BE417" s="46">
        <v>0</v>
      </c>
      <c r="BF417" s="46">
        <f>417</f>
        <v>417</v>
      </c>
      <c r="BH417" s="46">
        <f>I417*AO417</f>
        <v>0</v>
      </c>
      <c r="BI417" s="46">
        <f>I417*AP417</f>
        <v>0</v>
      </c>
      <c r="BJ417" s="46">
        <f>I417*J417</f>
        <v>0</v>
      </c>
      <c r="BK417" s="46"/>
      <c r="BL417" s="46">
        <v>57</v>
      </c>
    </row>
    <row r="418" spans="1:15" ht="15" customHeight="1">
      <c r="A418" s="10"/>
      <c r="D418" s="32" t="s">
        <v>328</v>
      </c>
      <c r="G418" s="32" t="s">
        <v>442</v>
      </c>
      <c r="I418" s="58">
        <v>69</v>
      </c>
      <c r="O418" s="30"/>
    </row>
    <row r="419" spans="1:64" ht="15" customHeight="1">
      <c r="A419" s="52" t="s">
        <v>252</v>
      </c>
      <c r="B419" s="43" t="s">
        <v>323</v>
      </c>
      <c r="C419" s="43" t="s">
        <v>902</v>
      </c>
      <c r="D419" s="61" t="s">
        <v>613</v>
      </c>
      <c r="E419" s="61"/>
      <c r="F419" s="61"/>
      <c r="G419" s="61"/>
      <c r="H419" s="43" t="s">
        <v>1629</v>
      </c>
      <c r="I419" s="46">
        <v>276</v>
      </c>
      <c r="J419" s="46">
        <v>0</v>
      </c>
      <c r="K419" s="46">
        <f>I419*AO419</f>
        <v>0</v>
      </c>
      <c r="L419" s="46">
        <f>I419*AP419</f>
        <v>0</v>
      </c>
      <c r="M419" s="46">
        <f>I419*J419</f>
        <v>0</v>
      </c>
      <c r="N419" s="46">
        <v>0.0003</v>
      </c>
      <c r="O419" s="6" t="s">
        <v>1149</v>
      </c>
      <c r="Z419" s="46">
        <f>IF(AQ419="5",BJ419,0)</f>
        <v>0</v>
      </c>
      <c r="AB419" s="46">
        <f>IF(AQ419="1",BH419,0)</f>
        <v>0</v>
      </c>
      <c r="AC419" s="46">
        <f>IF(AQ419="1",BI419,0)</f>
        <v>0</v>
      </c>
      <c r="AD419" s="46">
        <f>IF(AQ419="7",BH419,0)</f>
        <v>0</v>
      </c>
      <c r="AE419" s="46">
        <f>IF(AQ419="7",BI419,0)</f>
        <v>0</v>
      </c>
      <c r="AF419" s="46">
        <f>IF(AQ419="2",BH419,0)</f>
        <v>0</v>
      </c>
      <c r="AG419" s="46">
        <f>IF(AQ419="2",BI419,0)</f>
        <v>0</v>
      </c>
      <c r="AH419" s="46">
        <f>IF(AQ419="0",BJ419,0)</f>
        <v>0</v>
      </c>
      <c r="AI419" s="1" t="s">
        <v>323</v>
      </c>
      <c r="AJ419" s="46">
        <f>IF(AN419=0,M419,0)</f>
        <v>0</v>
      </c>
      <c r="AK419" s="46">
        <f>IF(AN419=15,M419,0)</f>
        <v>0</v>
      </c>
      <c r="AL419" s="46">
        <f>IF(AN419=21,M419,0)</f>
        <v>0</v>
      </c>
      <c r="AN419" s="46">
        <v>21</v>
      </c>
      <c r="AO419" s="46">
        <f>J419*0.854736842105263</f>
        <v>0</v>
      </c>
      <c r="AP419" s="46">
        <f>J419*(1-0.854736842105263)</f>
        <v>0</v>
      </c>
      <c r="AQ419" s="42" t="s">
        <v>1648</v>
      </c>
      <c r="AV419" s="46">
        <f>AW419+AX419</f>
        <v>0</v>
      </c>
      <c r="AW419" s="46">
        <f>I419*AO419</f>
        <v>0</v>
      </c>
      <c r="AX419" s="46">
        <f>I419*AP419</f>
        <v>0</v>
      </c>
      <c r="AY419" s="42" t="s">
        <v>648</v>
      </c>
      <c r="AZ419" s="42" t="s">
        <v>1346</v>
      </c>
      <c r="BA419" s="1" t="s">
        <v>1213</v>
      </c>
      <c r="BC419" s="46">
        <f>AW419+AX419</f>
        <v>0</v>
      </c>
      <c r="BD419" s="46">
        <f>J419/(100-BE419)*100</f>
        <v>0</v>
      </c>
      <c r="BE419" s="46">
        <v>0</v>
      </c>
      <c r="BF419" s="46">
        <f>419</f>
        <v>419</v>
      </c>
      <c r="BH419" s="46">
        <f>I419*AO419</f>
        <v>0</v>
      </c>
      <c r="BI419" s="46">
        <f>I419*AP419</f>
        <v>0</v>
      </c>
      <c r="BJ419" s="46">
        <f>I419*J419</f>
        <v>0</v>
      </c>
      <c r="BK419" s="46"/>
      <c r="BL419" s="46">
        <v>57</v>
      </c>
    </row>
    <row r="420" spans="1:15" ht="15" customHeight="1">
      <c r="A420" s="10"/>
      <c r="D420" s="32" t="s">
        <v>131</v>
      </c>
      <c r="G420" s="32" t="s">
        <v>745</v>
      </c>
      <c r="I420" s="58">
        <v>138</v>
      </c>
      <c r="O420" s="30"/>
    </row>
    <row r="421" spans="1:15" ht="15" customHeight="1">
      <c r="A421" s="10"/>
      <c r="D421" s="32" t="s">
        <v>131</v>
      </c>
      <c r="G421" s="32" t="s">
        <v>745</v>
      </c>
      <c r="I421" s="58">
        <v>138</v>
      </c>
      <c r="O421" s="30"/>
    </row>
    <row r="422" spans="1:64" ht="15" customHeight="1">
      <c r="A422" s="52" t="s">
        <v>1520</v>
      </c>
      <c r="B422" s="43" t="s">
        <v>323</v>
      </c>
      <c r="C422" s="43" t="s">
        <v>1380</v>
      </c>
      <c r="D422" s="61" t="s">
        <v>1644</v>
      </c>
      <c r="E422" s="61"/>
      <c r="F422" s="61"/>
      <c r="G422" s="61"/>
      <c r="H422" s="43" t="s">
        <v>1629</v>
      </c>
      <c r="I422" s="46">
        <v>50</v>
      </c>
      <c r="J422" s="46">
        <v>0</v>
      </c>
      <c r="K422" s="46">
        <f>I422*AO422</f>
        <v>0</v>
      </c>
      <c r="L422" s="46">
        <f>I422*AP422</f>
        <v>0</v>
      </c>
      <c r="M422" s="46">
        <f>I422*J422</f>
        <v>0</v>
      </c>
      <c r="N422" s="46">
        <v>0.00753</v>
      </c>
      <c r="O422" s="6" t="s">
        <v>1149</v>
      </c>
      <c r="Z422" s="46">
        <f>IF(AQ422="5",BJ422,0)</f>
        <v>0</v>
      </c>
      <c r="AB422" s="46">
        <f>IF(AQ422="1",BH422,0)</f>
        <v>0</v>
      </c>
      <c r="AC422" s="46">
        <f>IF(AQ422="1",BI422,0)</f>
        <v>0</v>
      </c>
      <c r="AD422" s="46">
        <f>IF(AQ422="7",BH422,0)</f>
        <v>0</v>
      </c>
      <c r="AE422" s="46">
        <f>IF(AQ422="7",BI422,0)</f>
        <v>0</v>
      </c>
      <c r="AF422" s="46">
        <f>IF(AQ422="2",BH422,0)</f>
        <v>0</v>
      </c>
      <c r="AG422" s="46">
        <f>IF(AQ422="2",BI422,0)</f>
        <v>0</v>
      </c>
      <c r="AH422" s="46">
        <f>IF(AQ422="0",BJ422,0)</f>
        <v>0</v>
      </c>
      <c r="AI422" s="1" t="s">
        <v>323</v>
      </c>
      <c r="AJ422" s="46">
        <f>IF(AN422=0,M422,0)</f>
        <v>0</v>
      </c>
      <c r="AK422" s="46">
        <f>IF(AN422=15,M422,0)</f>
        <v>0</v>
      </c>
      <c r="AL422" s="46">
        <f>IF(AN422=21,M422,0)</f>
        <v>0</v>
      </c>
      <c r="AN422" s="46">
        <v>21</v>
      </c>
      <c r="AO422" s="46">
        <f>J422*0.964530180460485</f>
        <v>0</v>
      </c>
      <c r="AP422" s="46">
        <f>J422*(1-0.964530180460485)</f>
        <v>0</v>
      </c>
      <c r="AQ422" s="42" t="s">
        <v>1648</v>
      </c>
      <c r="AV422" s="46">
        <f>AW422+AX422</f>
        <v>0</v>
      </c>
      <c r="AW422" s="46">
        <f>I422*AO422</f>
        <v>0</v>
      </c>
      <c r="AX422" s="46">
        <f>I422*AP422</f>
        <v>0</v>
      </c>
      <c r="AY422" s="42" t="s">
        <v>648</v>
      </c>
      <c r="AZ422" s="42" t="s">
        <v>1346</v>
      </c>
      <c r="BA422" s="1" t="s">
        <v>1213</v>
      </c>
      <c r="BC422" s="46">
        <f>AW422+AX422</f>
        <v>0</v>
      </c>
      <c r="BD422" s="46">
        <f>J422/(100-BE422)*100</f>
        <v>0</v>
      </c>
      <c r="BE422" s="46">
        <v>0</v>
      </c>
      <c r="BF422" s="46">
        <f>422</f>
        <v>422</v>
      </c>
      <c r="BH422" s="46">
        <f>I422*AO422</f>
        <v>0</v>
      </c>
      <c r="BI422" s="46">
        <f>I422*AP422</f>
        <v>0</v>
      </c>
      <c r="BJ422" s="46">
        <f>I422*J422</f>
        <v>0</v>
      </c>
      <c r="BK422" s="46"/>
      <c r="BL422" s="46">
        <v>57</v>
      </c>
    </row>
    <row r="423" spans="1:15" ht="15" customHeight="1">
      <c r="A423" s="10"/>
      <c r="D423" s="32" t="s">
        <v>1356</v>
      </c>
      <c r="G423" s="32" t="s">
        <v>1226</v>
      </c>
      <c r="I423" s="58">
        <v>50.00000000000001</v>
      </c>
      <c r="O423" s="30"/>
    </row>
    <row r="424" spans="1:64" ht="15" customHeight="1">
      <c r="A424" s="52" t="s">
        <v>1018</v>
      </c>
      <c r="B424" s="43" t="s">
        <v>323</v>
      </c>
      <c r="C424" s="43" t="s">
        <v>532</v>
      </c>
      <c r="D424" s="61" t="s">
        <v>1462</v>
      </c>
      <c r="E424" s="61"/>
      <c r="F424" s="61"/>
      <c r="G424" s="61"/>
      <c r="H424" s="43" t="s">
        <v>1629</v>
      </c>
      <c r="I424" s="46">
        <v>69</v>
      </c>
      <c r="J424" s="46">
        <v>0</v>
      </c>
      <c r="K424" s="46">
        <f>I424*AO424</f>
        <v>0</v>
      </c>
      <c r="L424" s="46">
        <f>I424*AP424</f>
        <v>0</v>
      </c>
      <c r="M424" s="46">
        <f>I424*J424</f>
        <v>0</v>
      </c>
      <c r="N424" s="46">
        <v>0.10373</v>
      </c>
      <c r="O424" s="6" t="s">
        <v>1149</v>
      </c>
      <c r="Z424" s="46">
        <f>IF(AQ424="5",BJ424,0)</f>
        <v>0</v>
      </c>
      <c r="AB424" s="46">
        <f>IF(AQ424="1",BH424,0)</f>
        <v>0</v>
      </c>
      <c r="AC424" s="46">
        <f>IF(AQ424="1",BI424,0)</f>
        <v>0</v>
      </c>
      <c r="AD424" s="46">
        <f>IF(AQ424="7",BH424,0)</f>
        <v>0</v>
      </c>
      <c r="AE424" s="46">
        <f>IF(AQ424="7",BI424,0)</f>
        <v>0</v>
      </c>
      <c r="AF424" s="46">
        <f>IF(AQ424="2",BH424,0)</f>
        <v>0</v>
      </c>
      <c r="AG424" s="46">
        <f>IF(AQ424="2",BI424,0)</f>
        <v>0</v>
      </c>
      <c r="AH424" s="46">
        <f>IF(AQ424="0",BJ424,0)</f>
        <v>0</v>
      </c>
      <c r="AI424" s="1" t="s">
        <v>323</v>
      </c>
      <c r="AJ424" s="46">
        <f>IF(AN424=0,M424,0)</f>
        <v>0</v>
      </c>
      <c r="AK424" s="46">
        <f>IF(AN424=15,M424,0)</f>
        <v>0</v>
      </c>
      <c r="AL424" s="46">
        <f>IF(AN424=21,M424,0)</f>
        <v>0</v>
      </c>
      <c r="AN424" s="46">
        <v>21</v>
      </c>
      <c r="AO424" s="46">
        <f>J424*0.904897196261682</f>
        <v>0</v>
      </c>
      <c r="AP424" s="46">
        <f>J424*(1-0.904897196261682)</f>
        <v>0</v>
      </c>
      <c r="AQ424" s="42" t="s">
        <v>1648</v>
      </c>
      <c r="AV424" s="46">
        <f>AW424+AX424</f>
        <v>0</v>
      </c>
      <c r="AW424" s="46">
        <f>I424*AO424</f>
        <v>0</v>
      </c>
      <c r="AX424" s="46">
        <f>I424*AP424</f>
        <v>0</v>
      </c>
      <c r="AY424" s="42" t="s">
        <v>648</v>
      </c>
      <c r="AZ424" s="42" t="s">
        <v>1346</v>
      </c>
      <c r="BA424" s="1" t="s">
        <v>1213</v>
      </c>
      <c r="BC424" s="46">
        <f>AW424+AX424</f>
        <v>0</v>
      </c>
      <c r="BD424" s="46">
        <f>J424/(100-BE424)*100</f>
        <v>0</v>
      </c>
      <c r="BE424" s="46">
        <v>0</v>
      </c>
      <c r="BF424" s="46">
        <f>424</f>
        <v>424</v>
      </c>
      <c r="BH424" s="46">
        <f>I424*AO424</f>
        <v>0</v>
      </c>
      <c r="BI424" s="46">
        <f>I424*AP424</f>
        <v>0</v>
      </c>
      <c r="BJ424" s="46">
        <f>I424*J424</f>
        <v>0</v>
      </c>
      <c r="BK424" s="46"/>
      <c r="BL424" s="46">
        <v>57</v>
      </c>
    </row>
    <row r="425" spans="1:15" ht="15" customHeight="1">
      <c r="A425" s="10"/>
      <c r="D425" s="32" t="s">
        <v>328</v>
      </c>
      <c r="G425" s="32" t="s">
        <v>442</v>
      </c>
      <c r="I425" s="58">
        <v>69</v>
      </c>
      <c r="O425" s="30"/>
    </row>
    <row r="426" spans="1:47" ht="15" customHeight="1">
      <c r="A426" s="3" t="s">
        <v>1163</v>
      </c>
      <c r="B426" s="9" t="s">
        <v>323</v>
      </c>
      <c r="C426" s="9" t="s">
        <v>76</v>
      </c>
      <c r="D426" s="64" t="s">
        <v>124</v>
      </c>
      <c r="E426" s="64"/>
      <c r="F426" s="64"/>
      <c r="G426" s="64"/>
      <c r="H426" s="41" t="s">
        <v>1537</v>
      </c>
      <c r="I426" s="41" t="s">
        <v>1537</v>
      </c>
      <c r="J426" s="41" t="s">
        <v>1537</v>
      </c>
      <c r="K426" s="50">
        <f>SUM(K427:K460)</f>
        <v>0</v>
      </c>
      <c r="L426" s="50">
        <f>SUM(L427:L460)</f>
        <v>0</v>
      </c>
      <c r="M426" s="50">
        <f>SUM(M427:M460)</f>
        <v>0</v>
      </c>
      <c r="N426" s="1" t="s">
        <v>1163</v>
      </c>
      <c r="O426" s="45" t="s">
        <v>1163</v>
      </c>
      <c r="AI426" s="1" t="s">
        <v>323</v>
      </c>
      <c r="AS426" s="50">
        <f>SUM(AJ427:AJ460)</f>
        <v>0</v>
      </c>
      <c r="AT426" s="50">
        <f>SUM(AK427:AK460)</f>
        <v>0</v>
      </c>
      <c r="AU426" s="50">
        <f>SUM(AL427:AL460)</f>
        <v>0</v>
      </c>
    </row>
    <row r="427" spans="1:64" ht="15" customHeight="1">
      <c r="A427" s="52" t="s">
        <v>449</v>
      </c>
      <c r="B427" s="43" t="s">
        <v>323</v>
      </c>
      <c r="C427" s="43" t="s">
        <v>1857</v>
      </c>
      <c r="D427" s="61" t="s">
        <v>1113</v>
      </c>
      <c r="E427" s="61"/>
      <c r="F427" s="61"/>
      <c r="G427" s="61"/>
      <c r="H427" s="43" t="s">
        <v>1365</v>
      </c>
      <c r="I427" s="46">
        <v>193.5</v>
      </c>
      <c r="J427" s="46">
        <v>0</v>
      </c>
      <c r="K427" s="46">
        <f>I427*AO427</f>
        <v>0</v>
      </c>
      <c r="L427" s="46">
        <f>I427*AP427</f>
        <v>0</v>
      </c>
      <c r="M427" s="46">
        <f>I427*J427</f>
        <v>0</v>
      </c>
      <c r="N427" s="46">
        <v>1E-05</v>
      </c>
      <c r="O427" s="6" t="s">
        <v>1149</v>
      </c>
      <c r="Z427" s="46">
        <f>IF(AQ427="5",BJ427,0)</f>
        <v>0</v>
      </c>
      <c r="AB427" s="46">
        <f>IF(AQ427="1",BH427,0)</f>
        <v>0</v>
      </c>
      <c r="AC427" s="46">
        <f>IF(AQ427="1",BI427,0)</f>
        <v>0</v>
      </c>
      <c r="AD427" s="46">
        <f>IF(AQ427="7",BH427,0)</f>
        <v>0</v>
      </c>
      <c r="AE427" s="46">
        <f>IF(AQ427="7",BI427,0)</f>
        <v>0</v>
      </c>
      <c r="AF427" s="46">
        <f>IF(AQ427="2",BH427,0)</f>
        <v>0</v>
      </c>
      <c r="AG427" s="46">
        <f>IF(AQ427="2",BI427,0)</f>
        <v>0</v>
      </c>
      <c r="AH427" s="46">
        <f>IF(AQ427="0",BJ427,0)</f>
        <v>0</v>
      </c>
      <c r="AI427" s="1" t="s">
        <v>323</v>
      </c>
      <c r="AJ427" s="46">
        <f>IF(AN427=0,M427,0)</f>
        <v>0</v>
      </c>
      <c r="AK427" s="46">
        <f>IF(AN427=15,M427,0)</f>
        <v>0</v>
      </c>
      <c r="AL427" s="46">
        <f>IF(AN427=21,M427,0)</f>
        <v>0</v>
      </c>
      <c r="AN427" s="46">
        <v>21</v>
      </c>
      <c r="AO427" s="46">
        <f>J427*0.00523255813953488</f>
        <v>0</v>
      </c>
      <c r="AP427" s="46">
        <f>J427*(1-0.00523255813953488)</f>
        <v>0</v>
      </c>
      <c r="AQ427" s="42" t="s">
        <v>1648</v>
      </c>
      <c r="AV427" s="46">
        <f>AW427+AX427</f>
        <v>0</v>
      </c>
      <c r="AW427" s="46">
        <f>I427*AO427</f>
        <v>0</v>
      </c>
      <c r="AX427" s="46">
        <f>I427*AP427</f>
        <v>0</v>
      </c>
      <c r="AY427" s="42" t="s">
        <v>109</v>
      </c>
      <c r="AZ427" s="42" t="s">
        <v>1166</v>
      </c>
      <c r="BA427" s="1" t="s">
        <v>1213</v>
      </c>
      <c r="BC427" s="46">
        <f>AW427+AX427</f>
        <v>0</v>
      </c>
      <c r="BD427" s="46">
        <f>J427/(100-BE427)*100</f>
        <v>0</v>
      </c>
      <c r="BE427" s="46">
        <v>0</v>
      </c>
      <c r="BF427" s="46">
        <f>427</f>
        <v>427</v>
      </c>
      <c r="BH427" s="46">
        <f>I427*AO427</f>
        <v>0</v>
      </c>
      <c r="BI427" s="46">
        <f>I427*AP427</f>
        <v>0</v>
      </c>
      <c r="BJ427" s="46">
        <f>I427*J427</f>
        <v>0</v>
      </c>
      <c r="BK427" s="46"/>
      <c r="BL427" s="46">
        <v>87</v>
      </c>
    </row>
    <row r="428" spans="1:15" ht="15" customHeight="1">
      <c r="A428" s="10"/>
      <c r="D428" s="32" t="s">
        <v>1241</v>
      </c>
      <c r="G428" s="32" t="s">
        <v>408</v>
      </c>
      <c r="I428" s="58">
        <v>193.50000000000003</v>
      </c>
      <c r="O428" s="30"/>
    </row>
    <row r="429" spans="1:64" ht="15" customHeight="1">
      <c r="A429" s="52" t="s">
        <v>1352</v>
      </c>
      <c r="B429" s="43" t="s">
        <v>323</v>
      </c>
      <c r="C429" s="43" t="s">
        <v>1202</v>
      </c>
      <c r="D429" s="61" t="s">
        <v>1273</v>
      </c>
      <c r="E429" s="61"/>
      <c r="F429" s="61"/>
      <c r="G429" s="61"/>
      <c r="H429" s="43" t="s">
        <v>392</v>
      </c>
      <c r="I429" s="46">
        <v>32</v>
      </c>
      <c r="J429" s="46">
        <v>0</v>
      </c>
      <c r="K429" s="46">
        <f>I429*AO429</f>
        <v>0</v>
      </c>
      <c r="L429" s="46">
        <f>I429*AP429</f>
        <v>0</v>
      </c>
      <c r="M429" s="46">
        <f>I429*J429</f>
        <v>0</v>
      </c>
      <c r="N429" s="46">
        <v>0.1095</v>
      </c>
      <c r="O429" s="6" t="s">
        <v>1149</v>
      </c>
      <c r="Z429" s="46">
        <f>IF(AQ429="5",BJ429,0)</f>
        <v>0</v>
      </c>
      <c r="AB429" s="46">
        <f>IF(AQ429="1",BH429,0)</f>
        <v>0</v>
      </c>
      <c r="AC429" s="46">
        <f>IF(AQ429="1",BI429,0)</f>
        <v>0</v>
      </c>
      <c r="AD429" s="46">
        <f>IF(AQ429="7",BH429,0)</f>
        <v>0</v>
      </c>
      <c r="AE429" s="46">
        <f>IF(AQ429="7",BI429,0)</f>
        <v>0</v>
      </c>
      <c r="AF429" s="46">
        <f>IF(AQ429="2",BH429,0)</f>
        <v>0</v>
      </c>
      <c r="AG429" s="46">
        <f>IF(AQ429="2",BI429,0)</f>
        <v>0</v>
      </c>
      <c r="AH429" s="46">
        <f>IF(AQ429="0",BJ429,0)</f>
        <v>0</v>
      </c>
      <c r="AI429" s="1" t="s">
        <v>323</v>
      </c>
      <c r="AJ429" s="46">
        <f>IF(AN429=0,M429,0)</f>
        <v>0</v>
      </c>
      <c r="AK429" s="46">
        <f>IF(AN429=15,M429,0)</f>
        <v>0</v>
      </c>
      <c r="AL429" s="46">
        <f>IF(AN429=21,M429,0)</f>
        <v>0</v>
      </c>
      <c r="AN429" s="46">
        <v>21</v>
      </c>
      <c r="AO429" s="46">
        <f>J429*1</f>
        <v>0</v>
      </c>
      <c r="AP429" s="46">
        <f>J429*(1-1)</f>
        <v>0</v>
      </c>
      <c r="AQ429" s="42" t="s">
        <v>1648</v>
      </c>
      <c r="AV429" s="46">
        <f>AW429+AX429</f>
        <v>0</v>
      </c>
      <c r="AW429" s="46">
        <f>I429*AO429</f>
        <v>0</v>
      </c>
      <c r="AX429" s="46">
        <f>I429*AP429</f>
        <v>0</v>
      </c>
      <c r="AY429" s="42" t="s">
        <v>109</v>
      </c>
      <c r="AZ429" s="42" t="s">
        <v>1166</v>
      </c>
      <c r="BA429" s="1" t="s">
        <v>1213</v>
      </c>
      <c r="BC429" s="46">
        <f>AW429+AX429</f>
        <v>0</v>
      </c>
      <c r="BD429" s="46">
        <f>J429/(100-BE429)*100</f>
        <v>0</v>
      </c>
      <c r="BE429" s="46">
        <v>0</v>
      </c>
      <c r="BF429" s="46">
        <f>429</f>
        <v>429</v>
      </c>
      <c r="BH429" s="46">
        <f>I429*AO429</f>
        <v>0</v>
      </c>
      <c r="BI429" s="46">
        <f>I429*AP429</f>
        <v>0</v>
      </c>
      <c r="BJ429" s="46">
        <f>I429*J429</f>
        <v>0</v>
      </c>
      <c r="BK429" s="46"/>
      <c r="BL429" s="46">
        <v>87</v>
      </c>
    </row>
    <row r="430" spans="1:15" ht="15" customHeight="1">
      <c r="A430" s="10"/>
      <c r="D430" s="32" t="s">
        <v>1587</v>
      </c>
      <c r="G430" s="32" t="s">
        <v>1163</v>
      </c>
      <c r="I430" s="58">
        <v>32</v>
      </c>
      <c r="O430" s="30"/>
    </row>
    <row r="431" spans="1:64" ht="15" customHeight="1">
      <c r="A431" s="52" t="s">
        <v>1717</v>
      </c>
      <c r="B431" s="43" t="s">
        <v>323</v>
      </c>
      <c r="C431" s="43" t="s">
        <v>1778</v>
      </c>
      <c r="D431" s="61" t="s">
        <v>947</v>
      </c>
      <c r="E431" s="61"/>
      <c r="F431" s="61"/>
      <c r="G431" s="61"/>
      <c r="H431" s="43" t="s">
        <v>392</v>
      </c>
      <c r="I431" s="46">
        <v>1</v>
      </c>
      <c r="J431" s="46">
        <v>0</v>
      </c>
      <c r="K431" s="46">
        <f>I431*AO431</f>
        <v>0</v>
      </c>
      <c r="L431" s="46">
        <f>I431*AP431</f>
        <v>0</v>
      </c>
      <c r="M431" s="46">
        <f>I431*J431</f>
        <v>0</v>
      </c>
      <c r="N431" s="46">
        <v>0.0596</v>
      </c>
      <c r="O431" s="6" t="s">
        <v>1149</v>
      </c>
      <c r="Z431" s="46">
        <f>IF(AQ431="5",BJ431,0)</f>
        <v>0</v>
      </c>
      <c r="AB431" s="46">
        <f>IF(AQ431="1",BH431,0)</f>
        <v>0</v>
      </c>
      <c r="AC431" s="46">
        <f>IF(AQ431="1",BI431,0)</f>
        <v>0</v>
      </c>
      <c r="AD431" s="46">
        <f>IF(AQ431="7",BH431,0)</f>
        <v>0</v>
      </c>
      <c r="AE431" s="46">
        <f>IF(AQ431="7",BI431,0)</f>
        <v>0</v>
      </c>
      <c r="AF431" s="46">
        <f>IF(AQ431="2",BH431,0)</f>
        <v>0</v>
      </c>
      <c r="AG431" s="46">
        <f>IF(AQ431="2",BI431,0)</f>
        <v>0</v>
      </c>
      <c r="AH431" s="46">
        <f>IF(AQ431="0",BJ431,0)</f>
        <v>0</v>
      </c>
      <c r="AI431" s="1" t="s">
        <v>323</v>
      </c>
      <c r="AJ431" s="46">
        <f>IF(AN431=0,M431,0)</f>
        <v>0</v>
      </c>
      <c r="AK431" s="46">
        <f>IF(AN431=15,M431,0)</f>
        <v>0</v>
      </c>
      <c r="AL431" s="46">
        <f>IF(AN431=21,M431,0)</f>
        <v>0</v>
      </c>
      <c r="AN431" s="46">
        <v>21</v>
      </c>
      <c r="AO431" s="46">
        <f>J431*1</f>
        <v>0</v>
      </c>
      <c r="AP431" s="46">
        <f>J431*(1-1)</f>
        <v>0</v>
      </c>
      <c r="AQ431" s="42" t="s">
        <v>1648</v>
      </c>
      <c r="AV431" s="46">
        <f>AW431+AX431</f>
        <v>0</v>
      </c>
      <c r="AW431" s="46">
        <f>I431*AO431</f>
        <v>0</v>
      </c>
      <c r="AX431" s="46">
        <f>I431*AP431</f>
        <v>0</v>
      </c>
      <c r="AY431" s="42" t="s">
        <v>109</v>
      </c>
      <c r="AZ431" s="42" t="s">
        <v>1166</v>
      </c>
      <c r="BA431" s="1" t="s">
        <v>1213</v>
      </c>
      <c r="BC431" s="46">
        <f>AW431+AX431</f>
        <v>0</v>
      </c>
      <c r="BD431" s="46">
        <f>J431/(100-BE431)*100</f>
        <v>0</v>
      </c>
      <c r="BE431" s="46">
        <v>0</v>
      </c>
      <c r="BF431" s="46">
        <f>431</f>
        <v>431</v>
      </c>
      <c r="BH431" s="46">
        <f>I431*AO431</f>
        <v>0</v>
      </c>
      <c r="BI431" s="46">
        <f>I431*AP431</f>
        <v>0</v>
      </c>
      <c r="BJ431" s="46">
        <f>I431*J431</f>
        <v>0</v>
      </c>
      <c r="BK431" s="46"/>
      <c r="BL431" s="46">
        <v>87</v>
      </c>
    </row>
    <row r="432" spans="1:15" ht="15" customHeight="1">
      <c r="A432" s="10"/>
      <c r="D432" s="32" t="s">
        <v>1648</v>
      </c>
      <c r="G432" s="32" t="s">
        <v>1724</v>
      </c>
      <c r="I432" s="58">
        <v>1</v>
      </c>
      <c r="O432" s="30"/>
    </row>
    <row r="433" spans="1:64" ht="15" customHeight="1">
      <c r="A433" s="52" t="s">
        <v>385</v>
      </c>
      <c r="B433" s="43" t="s">
        <v>323</v>
      </c>
      <c r="C433" s="43" t="s">
        <v>754</v>
      </c>
      <c r="D433" s="61" t="s">
        <v>437</v>
      </c>
      <c r="E433" s="61"/>
      <c r="F433" s="61"/>
      <c r="G433" s="61"/>
      <c r="H433" s="43" t="s">
        <v>392</v>
      </c>
      <c r="I433" s="46">
        <v>3</v>
      </c>
      <c r="J433" s="46">
        <v>0</v>
      </c>
      <c r="K433" s="46">
        <f>I433*AO433</f>
        <v>0</v>
      </c>
      <c r="L433" s="46">
        <f>I433*AP433</f>
        <v>0</v>
      </c>
      <c r="M433" s="46">
        <f>I433*J433</f>
        <v>0</v>
      </c>
      <c r="N433" s="46">
        <v>9E-05</v>
      </c>
      <c r="O433" s="6" t="s">
        <v>1149</v>
      </c>
      <c r="Z433" s="46">
        <f>IF(AQ433="5",BJ433,0)</f>
        <v>0</v>
      </c>
      <c r="AB433" s="46">
        <f>IF(AQ433="1",BH433,0)</f>
        <v>0</v>
      </c>
      <c r="AC433" s="46">
        <f>IF(AQ433="1",BI433,0)</f>
        <v>0</v>
      </c>
      <c r="AD433" s="46">
        <f>IF(AQ433="7",BH433,0)</f>
        <v>0</v>
      </c>
      <c r="AE433" s="46">
        <f>IF(AQ433="7",BI433,0)</f>
        <v>0</v>
      </c>
      <c r="AF433" s="46">
        <f>IF(AQ433="2",BH433,0)</f>
        <v>0</v>
      </c>
      <c r="AG433" s="46">
        <f>IF(AQ433="2",BI433,0)</f>
        <v>0</v>
      </c>
      <c r="AH433" s="46">
        <f>IF(AQ433="0",BJ433,0)</f>
        <v>0</v>
      </c>
      <c r="AI433" s="1" t="s">
        <v>323</v>
      </c>
      <c r="AJ433" s="46">
        <f>IF(AN433=0,M433,0)</f>
        <v>0</v>
      </c>
      <c r="AK433" s="46">
        <f>IF(AN433=15,M433,0)</f>
        <v>0</v>
      </c>
      <c r="AL433" s="46">
        <f>IF(AN433=21,M433,0)</f>
        <v>0</v>
      </c>
      <c r="AN433" s="46">
        <v>21</v>
      </c>
      <c r="AO433" s="46">
        <f>J433*0.00995348837209302</f>
        <v>0</v>
      </c>
      <c r="AP433" s="46">
        <f>J433*(1-0.00995348837209302)</f>
        <v>0</v>
      </c>
      <c r="AQ433" s="42" t="s">
        <v>1648</v>
      </c>
      <c r="AV433" s="46">
        <f>AW433+AX433</f>
        <v>0</v>
      </c>
      <c r="AW433" s="46">
        <f>I433*AO433</f>
        <v>0</v>
      </c>
      <c r="AX433" s="46">
        <f>I433*AP433</f>
        <v>0</v>
      </c>
      <c r="AY433" s="42" t="s">
        <v>109</v>
      </c>
      <c r="AZ433" s="42" t="s">
        <v>1166</v>
      </c>
      <c r="BA433" s="1" t="s">
        <v>1213</v>
      </c>
      <c r="BC433" s="46">
        <f>AW433+AX433</f>
        <v>0</v>
      </c>
      <c r="BD433" s="46">
        <f>J433/(100-BE433)*100</f>
        <v>0</v>
      </c>
      <c r="BE433" s="46">
        <v>0</v>
      </c>
      <c r="BF433" s="46">
        <f>433</f>
        <v>433</v>
      </c>
      <c r="BH433" s="46">
        <f>I433*AO433</f>
        <v>0</v>
      </c>
      <c r="BI433" s="46">
        <f>I433*AP433</f>
        <v>0</v>
      </c>
      <c r="BJ433" s="46">
        <f>I433*J433</f>
        <v>0</v>
      </c>
      <c r="BK433" s="46"/>
      <c r="BL433" s="46">
        <v>87</v>
      </c>
    </row>
    <row r="434" spans="1:15" ht="15" customHeight="1">
      <c r="A434" s="10"/>
      <c r="D434" s="32" t="s">
        <v>1430</v>
      </c>
      <c r="G434" s="32" t="s">
        <v>1163</v>
      </c>
      <c r="I434" s="58">
        <v>3.0000000000000004</v>
      </c>
      <c r="O434" s="30"/>
    </row>
    <row r="435" spans="1:64" ht="15" customHeight="1">
      <c r="A435" s="52" t="s">
        <v>1768</v>
      </c>
      <c r="B435" s="43" t="s">
        <v>323</v>
      </c>
      <c r="C435" s="43" t="s">
        <v>1066</v>
      </c>
      <c r="D435" s="61" t="s">
        <v>577</v>
      </c>
      <c r="E435" s="61"/>
      <c r="F435" s="61"/>
      <c r="G435" s="61"/>
      <c r="H435" s="43" t="s">
        <v>392</v>
      </c>
      <c r="I435" s="46">
        <v>3</v>
      </c>
      <c r="J435" s="46">
        <v>0</v>
      </c>
      <c r="K435" s="46">
        <f>I435*AO435</f>
        <v>0</v>
      </c>
      <c r="L435" s="46">
        <f>I435*AP435</f>
        <v>0</v>
      </c>
      <c r="M435" s="46">
        <f>I435*J435</f>
        <v>0</v>
      </c>
      <c r="N435" s="46">
        <v>0.0042</v>
      </c>
      <c r="O435" s="6" t="s">
        <v>1149</v>
      </c>
      <c r="Z435" s="46">
        <f>IF(AQ435="5",BJ435,0)</f>
        <v>0</v>
      </c>
      <c r="AB435" s="46">
        <f>IF(AQ435="1",BH435,0)</f>
        <v>0</v>
      </c>
      <c r="AC435" s="46">
        <f>IF(AQ435="1",BI435,0)</f>
        <v>0</v>
      </c>
      <c r="AD435" s="46">
        <f>IF(AQ435="7",BH435,0)</f>
        <v>0</v>
      </c>
      <c r="AE435" s="46">
        <f>IF(AQ435="7",BI435,0)</f>
        <v>0</v>
      </c>
      <c r="AF435" s="46">
        <f>IF(AQ435="2",BH435,0)</f>
        <v>0</v>
      </c>
      <c r="AG435" s="46">
        <f>IF(AQ435="2",BI435,0)</f>
        <v>0</v>
      </c>
      <c r="AH435" s="46">
        <f>IF(AQ435="0",BJ435,0)</f>
        <v>0</v>
      </c>
      <c r="AI435" s="1" t="s">
        <v>323</v>
      </c>
      <c r="AJ435" s="46">
        <f>IF(AN435=0,M435,0)</f>
        <v>0</v>
      </c>
      <c r="AK435" s="46">
        <f>IF(AN435=15,M435,0)</f>
        <v>0</v>
      </c>
      <c r="AL435" s="46">
        <f>IF(AN435=21,M435,0)</f>
        <v>0</v>
      </c>
      <c r="AN435" s="46">
        <v>21</v>
      </c>
      <c r="AO435" s="46">
        <f>J435*1</f>
        <v>0</v>
      </c>
      <c r="AP435" s="46">
        <f>J435*(1-1)</f>
        <v>0</v>
      </c>
      <c r="AQ435" s="42" t="s">
        <v>1648</v>
      </c>
      <c r="AV435" s="46">
        <f>AW435+AX435</f>
        <v>0</v>
      </c>
      <c r="AW435" s="46">
        <f>I435*AO435</f>
        <v>0</v>
      </c>
      <c r="AX435" s="46">
        <f>I435*AP435</f>
        <v>0</v>
      </c>
      <c r="AY435" s="42" t="s">
        <v>109</v>
      </c>
      <c r="AZ435" s="42" t="s">
        <v>1166</v>
      </c>
      <c r="BA435" s="1" t="s">
        <v>1213</v>
      </c>
      <c r="BC435" s="46">
        <f>AW435+AX435</f>
        <v>0</v>
      </c>
      <c r="BD435" s="46">
        <f>J435/(100-BE435)*100</f>
        <v>0</v>
      </c>
      <c r="BE435" s="46">
        <v>0</v>
      </c>
      <c r="BF435" s="46">
        <f>435</f>
        <v>435</v>
      </c>
      <c r="BH435" s="46">
        <f>I435*AO435</f>
        <v>0</v>
      </c>
      <c r="BI435" s="46">
        <f>I435*AP435</f>
        <v>0</v>
      </c>
      <c r="BJ435" s="46">
        <f>I435*J435</f>
        <v>0</v>
      </c>
      <c r="BK435" s="46"/>
      <c r="BL435" s="46">
        <v>87</v>
      </c>
    </row>
    <row r="436" spans="1:64" ht="15" customHeight="1">
      <c r="A436" s="52" t="s">
        <v>521</v>
      </c>
      <c r="B436" s="43" t="s">
        <v>323</v>
      </c>
      <c r="C436" s="43" t="s">
        <v>1590</v>
      </c>
      <c r="D436" s="61" t="s">
        <v>1878</v>
      </c>
      <c r="E436" s="61"/>
      <c r="F436" s="61"/>
      <c r="G436" s="61"/>
      <c r="H436" s="43" t="s">
        <v>1365</v>
      </c>
      <c r="I436" s="46">
        <v>162.5</v>
      </c>
      <c r="J436" s="46">
        <v>0</v>
      </c>
      <c r="K436" s="46">
        <f>I436*AO436</f>
        <v>0</v>
      </c>
      <c r="L436" s="46">
        <f>I436*AP436</f>
        <v>0</v>
      </c>
      <c r="M436" s="46">
        <f>I436*J436</f>
        <v>0</v>
      </c>
      <c r="N436" s="46">
        <v>2E-05</v>
      </c>
      <c r="O436" s="6" t="s">
        <v>1149</v>
      </c>
      <c r="Z436" s="46">
        <f>IF(AQ436="5",BJ436,0)</f>
        <v>0</v>
      </c>
      <c r="AB436" s="46">
        <f>IF(AQ436="1",BH436,0)</f>
        <v>0</v>
      </c>
      <c r="AC436" s="46">
        <f>IF(AQ436="1",BI436,0)</f>
        <v>0</v>
      </c>
      <c r="AD436" s="46">
        <f>IF(AQ436="7",BH436,0)</f>
        <v>0</v>
      </c>
      <c r="AE436" s="46">
        <f>IF(AQ436="7",BI436,0)</f>
        <v>0</v>
      </c>
      <c r="AF436" s="46">
        <f>IF(AQ436="2",BH436,0)</f>
        <v>0</v>
      </c>
      <c r="AG436" s="46">
        <f>IF(AQ436="2",BI436,0)</f>
        <v>0</v>
      </c>
      <c r="AH436" s="46">
        <f>IF(AQ436="0",BJ436,0)</f>
        <v>0</v>
      </c>
      <c r="AI436" s="1" t="s">
        <v>323</v>
      </c>
      <c r="AJ436" s="46">
        <f>IF(AN436=0,M436,0)</f>
        <v>0</v>
      </c>
      <c r="AK436" s="46">
        <f>IF(AN436=15,M436,0)</f>
        <v>0</v>
      </c>
      <c r="AL436" s="46">
        <f>IF(AN436=21,M436,0)</f>
        <v>0</v>
      </c>
      <c r="AN436" s="46">
        <v>21</v>
      </c>
      <c r="AO436" s="46">
        <f>J436*0.00474576271186441</f>
        <v>0</v>
      </c>
      <c r="AP436" s="46">
        <f>J436*(1-0.00474576271186441)</f>
        <v>0</v>
      </c>
      <c r="AQ436" s="42" t="s">
        <v>1648</v>
      </c>
      <c r="AV436" s="46">
        <f>AW436+AX436</f>
        <v>0</v>
      </c>
      <c r="AW436" s="46">
        <f>I436*AO436</f>
        <v>0</v>
      </c>
      <c r="AX436" s="46">
        <f>I436*AP436</f>
        <v>0</v>
      </c>
      <c r="AY436" s="42" t="s">
        <v>109</v>
      </c>
      <c r="AZ436" s="42" t="s">
        <v>1166</v>
      </c>
      <c r="BA436" s="1" t="s">
        <v>1213</v>
      </c>
      <c r="BC436" s="46">
        <f>AW436+AX436</f>
        <v>0</v>
      </c>
      <c r="BD436" s="46">
        <f>J436/(100-BE436)*100</f>
        <v>0</v>
      </c>
      <c r="BE436" s="46">
        <v>0</v>
      </c>
      <c r="BF436" s="46">
        <f>436</f>
        <v>436</v>
      </c>
      <c r="BH436" s="46">
        <f>I436*AO436</f>
        <v>0</v>
      </c>
      <c r="BI436" s="46">
        <f>I436*AP436</f>
        <v>0</v>
      </c>
      <c r="BJ436" s="46">
        <f>I436*J436</f>
        <v>0</v>
      </c>
      <c r="BK436" s="46"/>
      <c r="BL436" s="46">
        <v>87</v>
      </c>
    </row>
    <row r="437" spans="1:15" ht="15" customHeight="1">
      <c r="A437" s="10"/>
      <c r="D437" s="32" t="s">
        <v>788</v>
      </c>
      <c r="G437" s="32" t="s">
        <v>1177</v>
      </c>
      <c r="I437" s="58">
        <v>162.5</v>
      </c>
      <c r="O437" s="30"/>
    </row>
    <row r="438" spans="1:64" ht="15" customHeight="1">
      <c r="A438" s="52" t="s">
        <v>1340</v>
      </c>
      <c r="B438" s="43" t="s">
        <v>323</v>
      </c>
      <c r="C438" s="43" t="s">
        <v>1012</v>
      </c>
      <c r="D438" s="61" t="s">
        <v>727</v>
      </c>
      <c r="E438" s="61"/>
      <c r="F438" s="61"/>
      <c r="G438" s="61"/>
      <c r="H438" s="43" t="s">
        <v>392</v>
      </c>
      <c r="I438" s="46">
        <v>27</v>
      </c>
      <c r="J438" s="46">
        <v>0</v>
      </c>
      <c r="K438" s="46">
        <f>I438*AO438</f>
        <v>0</v>
      </c>
      <c r="L438" s="46">
        <f>I438*AP438</f>
        <v>0</v>
      </c>
      <c r="M438" s="46">
        <f>I438*J438</f>
        <v>0</v>
      </c>
      <c r="N438" s="46">
        <v>0.3</v>
      </c>
      <c r="O438" s="6" t="s">
        <v>1149</v>
      </c>
      <c r="Z438" s="46">
        <f>IF(AQ438="5",BJ438,0)</f>
        <v>0</v>
      </c>
      <c r="AB438" s="46">
        <f>IF(AQ438="1",BH438,0)</f>
        <v>0</v>
      </c>
      <c r="AC438" s="46">
        <f>IF(AQ438="1",BI438,0)</f>
        <v>0</v>
      </c>
      <c r="AD438" s="46">
        <f>IF(AQ438="7",BH438,0)</f>
        <v>0</v>
      </c>
      <c r="AE438" s="46">
        <f>IF(AQ438="7",BI438,0)</f>
        <v>0</v>
      </c>
      <c r="AF438" s="46">
        <f>IF(AQ438="2",BH438,0)</f>
        <v>0</v>
      </c>
      <c r="AG438" s="46">
        <f>IF(AQ438="2",BI438,0)</f>
        <v>0</v>
      </c>
      <c r="AH438" s="46">
        <f>IF(AQ438="0",BJ438,0)</f>
        <v>0</v>
      </c>
      <c r="AI438" s="1" t="s">
        <v>323</v>
      </c>
      <c r="AJ438" s="46">
        <f>IF(AN438=0,M438,0)</f>
        <v>0</v>
      </c>
      <c r="AK438" s="46">
        <f>IF(AN438=15,M438,0)</f>
        <v>0</v>
      </c>
      <c r="AL438" s="46">
        <f>IF(AN438=21,M438,0)</f>
        <v>0</v>
      </c>
      <c r="AN438" s="46">
        <v>21</v>
      </c>
      <c r="AO438" s="46">
        <f>J438*1</f>
        <v>0</v>
      </c>
      <c r="AP438" s="46">
        <f>J438*(1-1)</f>
        <v>0</v>
      </c>
      <c r="AQ438" s="42" t="s">
        <v>1648</v>
      </c>
      <c r="AV438" s="46">
        <f>AW438+AX438</f>
        <v>0</v>
      </c>
      <c r="AW438" s="46">
        <f>I438*AO438</f>
        <v>0</v>
      </c>
      <c r="AX438" s="46">
        <f>I438*AP438</f>
        <v>0</v>
      </c>
      <c r="AY438" s="42" t="s">
        <v>109</v>
      </c>
      <c r="AZ438" s="42" t="s">
        <v>1166</v>
      </c>
      <c r="BA438" s="1" t="s">
        <v>1213</v>
      </c>
      <c r="BC438" s="46">
        <f>AW438+AX438</f>
        <v>0</v>
      </c>
      <c r="BD438" s="46">
        <f>J438/(100-BE438)*100</f>
        <v>0</v>
      </c>
      <c r="BE438" s="46">
        <v>0</v>
      </c>
      <c r="BF438" s="46">
        <f>438</f>
        <v>438</v>
      </c>
      <c r="BH438" s="46">
        <f>I438*AO438</f>
        <v>0</v>
      </c>
      <c r="BI438" s="46">
        <f>I438*AP438</f>
        <v>0</v>
      </c>
      <c r="BJ438" s="46">
        <f>I438*J438</f>
        <v>0</v>
      </c>
      <c r="BK438" s="46"/>
      <c r="BL438" s="46">
        <v>87</v>
      </c>
    </row>
    <row r="439" spans="1:15" ht="15" customHeight="1">
      <c r="A439" s="10"/>
      <c r="D439" s="32" t="s">
        <v>84</v>
      </c>
      <c r="G439" s="32" t="s">
        <v>1163</v>
      </c>
      <c r="I439" s="58">
        <v>27.000000000000004</v>
      </c>
      <c r="O439" s="30"/>
    </row>
    <row r="440" spans="1:64" ht="15" customHeight="1">
      <c r="A440" s="52" t="s">
        <v>873</v>
      </c>
      <c r="B440" s="43" t="s">
        <v>323</v>
      </c>
      <c r="C440" s="43" t="s">
        <v>1020</v>
      </c>
      <c r="D440" s="61" t="s">
        <v>362</v>
      </c>
      <c r="E440" s="61"/>
      <c r="F440" s="61"/>
      <c r="G440" s="61"/>
      <c r="H440" s="43" t="s">
        <v>392</v>
      </c>
      <c r="I440" s="46">
        <v>1</v>
      </c>
      <c r="J440" s="46">
        <v>0</v>
      </c>
      <c r="K440" s="46">
        <f>I440*AO440</f>
        <v>0</v>
      </c>
      <c r="L440" s="46">
        <f>I440*AP440</f>
        <v>0</v>
      </c>
      <c r="M440" s="46">
        <f>I440*J440</f>
        <v>0</v>
      </c>
      <c r="N440" s="46">
        <v>0.15</v>
      </c>
      <c r="O440" s="6" t="s">
        <v>1149</v>
      </c>
      <c r="Z440" s="46">
        <f>IF(AQ440="5",BJ440,0)</f>
        <v>0</v>
      </c>
      <c r="AB440" s="46">
        <f>IF(AQ440="1",BH440,0)</f>
        <v>0</v>
      </c>
      <c r="AC440" s="46">
        <f>IF(AQ440="1",BI440,0)</f>
        <v>0</v>
      </c>
      <c r="AD440" s="46">
        <f>IF(AQ440="7",BH440,0)</f>
        <v>0</v>
      </c>
      <c r="AE440" s="46">
        <f>IF(AQ440="7",BI440,0)</f>
        <v>0</v>
      </c>
      <c r="AF440" s="46">
        <f>IF(AQ440="2",BH440,0)</f>
        <v>0</v>
      </c>
      <c r="AG440" s="46">
        <f>IF(AQ440="2",BI440,0)</f>
        <v>0</v>
      </c>
      <c r="AH440" s="46">
        <f>IF(AQ440="0",BJ440,0)</f>
        <v>0</v>
      </c>
      <c r="AI440" s="1" t="s">
        <v>323</v>
      </c>
      <c r="AJ440" s="46">
        <f>IF(AN440=0,M440,0)</f>
        <v>0</v>
      </c>
      <c r="AK440" s="46">
        <f>IF(AN440=15,M440,0)</f>
        <v>0</v>
      </c>
      <c r="AL440" s="46">
        <f>IF(AN440=21,M440,0)</f>
        <v>0</v>
      </c>
      <c r="AN440" s="46">
        <v>21</v>
      </c>
      <c r="AO440" s="46">
        <f>J440*1</f>
        <v>0</v>
      </c>
      <c r="AP440" s="46">
        <f>J440*(1-1)</f>
        <v>0</v>
      </c>
      <c r="AQ440" s="42" t="s">
        <v>1648</v>
      </c>
      <c r="AV440" s="46">
        <f>AW440+AX440</f>
        <v>0</v>
      </c>
      <c r="AW440" s="46">
        <f>I440*AO440</f>
        <v>0</v>
      </c>
      <c r="AX440" s="46">
        <f>I440*AP440</f>
        <v>0</v>
      </c>
      <c r="AY440" s="42" t="s">
        <v>109</v>
      </c>
      <c r="AZ440" s="42" t="s">
        <v>1166</v>
      </c>
      <c r="BA440" s="1" t="s">
        <v>1213</v>
      </c>
      <c r="BC440" s="46">
        <f>AW440+AX440</f>
        <v>0</v>
      </c>
      <c r="BD440" s="46">
        <f>J440/(100-BE440)*100</f>
        <v>0</v>
      </c>
      <c r="BE440" s="46">
        <v>0</v>
      </c>
      <c r="BF440" s="46">
        <f>440</f>
        <v>440</v>
      </c>
      <c r="BH440" s="46">
        <f>I440*AO440</f>
        <v>0</v>
      </c>
      <c r="BI440" s="46">
        <f>I440*AP440</f>
        <v>0</v>
      </c>
      <c r="BJ440" s="46">
        <f>I440*J440</f>
        <v>0</v>
      </c>
      <c r="BK440" s="46"/>
      <c r="BL440" s="46">
        <v>87</v>
      </c>
    </row>
    <row r="441" spans="1:64" ht="15" customHeight="1">
      <c r="A441" s="52" t="s">
        <v>36</v>
      </c>
      <c r="B441" s="43" t="s">
        <v>323</v>
      </c>
      <c r="C441" s="43" t="s">
        <v>1458</v>
      </c>
      <c r="D441" s="61" t="s">
        <v>640</v>
      </c>
      <c r="E441" s="61"/>
      <c r="F441" s="61"/>
      <c r="G441" s="61"/>
      <c r="H441" s="43" t="s">
        <v>392</v>
      </c>
      <c r="I441" s="46">
        <v>3</v>
      </c>
      <c r="J441" s="46">
        <v>0</v>
      </c>
      <c r="K441" s="46">
        <f>I441*AO441</f>
        <v>0</v>
      </c>
      <c r="L441" s="46">
        <f>I441*AP441</f>
        <v>0</v>
      </c>
      <c r="M441" s="46">
        <f>I441*J441</f>
        <v>0</v>
      </c>
      <c r="N441" s="46">
        <v>0.00015</v>
      </c>
      <c r="O441" s="6" t="s">
        <v>1149</v>
      </c>
      <c r="Z441" s="46">
        <f>IF(AQ441="5",BJ441,0)</f>
        <v>0</v>
      </c>
      <c r="AB441" s="46">
        <f>IF(AQ441="1",BH441,0)</f>
        <v>0</v>
      </c>
      <c r="AC441" s="46">
        <f>IF(AQ441="1",BI441,0)</f>
        <v>0</v>
      </c>
      <c r="AD441" s="46">
        <f>IF(AQ441="7",BH441,0)</f>
        <v>0</v>
      </c>
      <c r="AE441" s="46">
        <f>IF(AQ441="7",BI441,0)</f>
        <v>0</v>
      </c>
      <c r="AF441" s="46">
        <f>IF(AQ441="2",BH441,0)</f>
        <v>0</v>
      </c>
      <c r="AG441" s="46">
        <f>IF(AQ441="2",BI441,0)</f>
        <v>0</v>
      </c>
      <c r="AH441" s="46">
        <f>IF(AQ441="0",BJ441,0)</f>
        <v>0</v>
      </c>
      <c r="AI441" s="1" t="s">
        <v>323</v>
      </c>
      <c r="AJ441" s="46">
        <f>IF(AN441=0,M441,0)</f>
        <v>0</v>
      </c>
      <c r="AK441" s="46">
        <f>IF(AN441=15,M441,0)</f>
        <v>0</v>
      </c>
      <c r="AL441" s="46">
        <f>IF(AN441=21,M441,0)</f>
        <v>0</v>
      </c>
      <c r="AN441" s="46">
        <v>21</v>
      </c>
      <c r="AO441" s="46">
        <f>J441*0.0117908787541713</f>
        <v>0</v>
      </c>
      <c r="AP441" s="46">
        <f>J441*(1-0.0117908787541713)</f>
        <v>0</v>
      </c>
      <c r="AQ441" s="42" t="s">
        <v>1648</v>
      </c>
      <c r="AV441" s="46">
        <f>AW441+AX441</f>
        <v>0</v>
      </c>
      <c r="AW441" s="46">
        <f>I441*AO441</f>
        <v>0</v>
      </c>
      <c r="AX441" s="46">
        <f>I441*AP441</f>
        <v>0</v>
      </c>
      <c r="AY441" s="42" t="s">
        <v>109</v>
      </c>
      <c r="AZ441" s="42" t="s">
        <v>1166</v>
      </c>
      <c r="BA441" s="1" t="s">
        <v>1213</v>
      </c>
      <c r="BC441" s="46">
        <f>AW441+AX441</f>
        <v>0</v>
      </c>
      <c r="BD441" s="46">
        <f>J441/(100-BE441)*100</f>
        <v>0</v>
      </c>
      <c r="BE441" s="46">
        <v>0</v>
      </c>
      <c r="BF441" s="46">
        <f>441</f>
        <v>441</v>
      </c>
      <c r="BH441" s="46">
        <f>I441*AO441</f>
        <v>0</v>
      </c>
      <c r="BI441" s="46">
        <f>I441*AP441</f>
        <v>0</v>
      </c>
      <c r="BJ441" s="46">
        <f>I441*J441</f>
        <v>0</v>
      </c>
      <c r="BK441" s="46"/>
      <c r="BL441" s="46">
        <v>87</v>
      </c>
    </row>
    <row r="442" spans="1:15" ht="15" customHeight="1">
      <c r="A442" s="10"/>
      <c r="D442" s="32" t="s">
        <v>1430</v>
      </c>
      <c r="G442" s="32" t="s">
        <v>1163</v>
      </c>
      <c r="I442" s="58">
        <v>3.0000000000000004</v>
      </c>
      <c r="O442" s="30"/>
    </row>
    <row r="443" spans="1:64" ht="15" customHeight="1">
      <c r="A443" s="52" t="s">
        <v>1254</v>
      </c>
      <c r="B443" s="43" t="s">
        <v>323</v>
      </c>
      <c r="C443" s="43" t="s">
        <v>520</v>
      </c>
      <c r="D443" s="61" t="s">
        <v>1042</v>
      </c>
      <c r="E443" s="61"/>
      <c r="F443" s="61"/>
      <c r="G443" s="61"/>
      <c r="H443" s="43" t="s">
        <v>392</v>
      </c>
      <c r="I443" s="46">
        <v>3</v>
      </c>
      <c r="J443" s="46">
        <v>0</v>
      </c>
      <c r="K443" s="46">
        <f>I443*AO443</f>
        <v>0</v>
      </c>
      <c r="L443" s="46">
        <f>I443*AP443</f>
        <v>0</v>
      </c>
      <c r="M443" s="46">
        <f>I443*J443</f>
        <v>0</v>
      </c>
      <c r="N443" s="46">
        <v>0.0082</v>
      </c>
      <c r="O443" s="6" t="s">
        <v>1149</v>
      </c>
      <c r="Z443" s="46">
        <f>IF(AQ443="5",BJ443,0)</f>
        <v>0</v>
      </c>
      <c r="AB443" s="46">
        <f>IF(AQ443="1",BH443,0)</f>
        <v>0</v>
      </c>
      <c r="AC443" s="46">
        <f>IF(AQ443="1",BI443,0)</f>
        <v>0</v>
      </c>
      <c r="AD443" s="46">
        <f>IF(AQ443="7",BH443,0)</f>
        <v>0</v>
      </c>
      <c r="AE443" s="46">
        <f>IF(AQ443="7",BI443,0)</f>
        <v>0</v>
      </c>
      <c r="AF443" s="46">
        <f>IF(AQ443="2",BH443,0)</f>
        <v>0</v>
      </c>
      <c r="AG443" s="46">
        <f>IF(AQ443="2",BI443,0)</f>
        <v>0</v>
      </c>
      <c r="AH443" s="46">
        <f>IF(AQ443="0",BJ443,0)</f>
        <v>0</v>
      </c>
      <c r="AI443" s="1" t="s">
        <v>323</v>
      </c>
      <c r="AJ443" s="46">
        <f>IF(AN443=0,M443,0)</f>
        <v>0</v>
      </c>
      <c r="AK443" s="46">
        <f>IF(AN443=15,M443,0)</f>
        <v>0</v>
      </c>
      <c r="AL443" s="46">
        <f>IF(AN443=21,M443,0)</f>
        <v>0</v>
      </c>
      <c r="AN443" s="46">
        <v>21</v>
      </c>
      <c r="AO443" s="46">
        <f>J443*1</f>
        <v>0</v>
      </c>
      <c r="AP443" s="46">
        <f>J443*(1-1)</f>
        <v>0</v>
      </c>
      <c r="AQ443" s="42" t="s">
        <v>1648</v>
      </c>
      <c r="AV443" s="46">
        <f>AW443+AX443</f>
        <v>0</v>
      </c>
      <c r="AW443" s="46">
        <f>I443*AO443</f>
        <v>0</v>
      </c>
      <c r="AX443" s="46">
        <f>I443*AP443</f>
        <v>0</v>
      </c>
      <c r="AY443" s="42" t="s">
        <v>109</v>
      </c>
      <c r="AZ443" s="42" t="s">
        <v>1166</v>
      </c>
      <c r="BA443" s="1" t="s">
        <v>1213</v>
      </c>
      <c r="BC443" s="46">
        <f>AW443+AX443</f>
        <v>0</v>
      </c>
      <c r="BD443" s="46">
        <f>J443/(100-BE443)*100</f>
        <v>0</v>
      </c>
      <c r="BE443" s="46">
        <v>0</v>
      </c>
      <c r="BF443" s="46">
        <f>443</f>
        <v>443</v>
      </c>
      <c r="BH443" s="46">
        <f>I443*AO443</f>
        <v>0</v>
      </c>
      <c r="BI443" s="46">
        <f>I443*AP443</f>
        <v>0</v>
      </c>
      <c r="BJ443" s="46">
        <f>I443*J443</f>
        <v>0</v>
      </c>
      <c r="BK443" s="46"/>
      <c r="BL443" s="46">
        <v>87</v>
      </c>
    </row>
    <row r="444" spans="1:64" ht="15" customHeight="1">
      <c r="A444" s="52" t="s">
        <v>1776</v>
      </c>
      <c r="B444" s="43" t="s">
        <v>323</v>
      </c>
      <c r="C444" s="43" t="s">
        <v>281</v>
      </c>
      <c r="D444" s="61" t="s">
        <v>388</v>
      </c>
      <c r="E444" s="61"/>
      <c r="F444" s="61"/>
      <c r="G444" s="61"/>
      <c r="H444" s="43" t="s">
        <v>1365</v>
      </c>
      <c r="I444" s="46">
        <v>99.4</v>
      </c>
      <c r="J444" s="46">
        <v>0</v>
      </c>
      <c r="K444" s="46">
        <f>I444*AO444</f>
        <v>0</v>
      </c>
      <c r="L444" s="46">
        <f>I444*AP444</f>
        <v>0</v>
      </c>
      <c r="M444" s="46">
        <f>I444*J444</f>
        <v>0</v>
      </c>
      <c r="N444" s="46">
        <v>2E-05</v>
      </c>
      <c r="O444" s="6" t="s">
        <v>1149</v>
      </c>
      <c r="Z444" s="46">
        <f>IF(AQ444="5",BJ444,0)</f>
        <v>0</v>
      </c>
      <c r="AB444" s="46">
        <f>IF(AQ444="1",BH444,0)</f>
        <v>0</v>
      </c>
      <c r="AC444" s="46">
        <f>IF(AQ444="1",BI444,0)</f>
        <v>0</v>
      </c>
      <c r="AD444" s="46">
        <f>IF(AQ444="7",BH444,0)</f>
        <v>0</v>
      </c>
      <c r="AE444" s="46">
        <f>IF(AQ444="7",BI444,0)</f>
        <v>0</v>
      </c>
      <c r="AF444" s="46">
        <f>IF(AQ444="2",BH444,0)</f>
        <v>0</v>
      </c>
      <c r="AG444" s="46">
        <f>IF(AQ444="2",BI444,0)</f>
        <v>0</v>
      </c>
      <c r="AH444" s="46">
        <f>IF(AQ444="0",BJ444,0)</f>
        <v>0</v>
      </c>
      <c r="AI444" s="1" t="s">
        <v>323</v>
      </c>
      <c r="AJ444" s="46">
        <f>IF(AN444=0,M444,0)</f>
        <v>0</v>
      </c>
      <c r="AK444" s="46">
        <f>IF(AN444=15,M444,0)</f>
        <v>0</v>
      </c>
      <c r="AL444" s="46">
        <f>IF(AN444=21,M444,0)</f>
        <v>0</v>
      </c>
      <c r="AN444" s="46">
        <v>21</v>
      </c>
      <c r="AO444" s="46">
        <f>J444*0.00459627329192547</f>
        <v>0</v>
      </c>
      <c r="AP444" s="46">
        <f>J444*(1-0.00459627329192547)</f>
        <v>0</v>
      </c>
      <c r="AQ444" s="42" t="s">
        <v>1648</v>
      </c>
      <c r="AV444" s="46">
        <f>AW444+AX444</f>
        <v>0</v>
      </c>
      <c r="AW444" s="46">
        <f>I444*AO444</f>
        <v>0</v>
      </c>
      <c r="AX444" s="46">
        <f>I444*AP444</f>
        <v>0</v>
      </c>
      <c r="AY444" s="42" t="s">
        <v>109</v>
      </c>
      <c r="AZ444" s="42" t="s">
        <v>1166</v>
      </c>
      <c r="BA444" s="1" t="s">
        <v>1213</v>
      </c>
      <c r="BC444" s="46">
        <f>AW444+AX444</f>
        <v>0</v>
      </c>
      <c r="BD444" s="46">
        <f>J444/(100-BE444)*100</f>
        <v>0</v>
      </c>
      <c r="BE444" s="46">
        <v>0</v>
      </c>
      <c r="BF444" s="46">
        <f>444</f>
        <v>444</v>
      </c>
      <c r="BH444" s="46">
        <f>I444*AO444</f>
        <v>0</v>
      </c>
      <c r="BI444" s="46">
        <f>I444*AP444</f>
        <v>0</v>
      </c>
      <c r="BJ444" s="46">
        <f>I444*J444</f>
        <v>0</v>
      </c>
      <c r="BK444" s="46"/>
      <c r="BL444" s="46">
        <v>87</v>
      </c>
    </row>
    <row r="445" spans="1:15" ht="15" customHeight="1">
      <c r="A445" s="10"/>
      <c r="D445" s="32" t="s">
        <v>1065</v>
      </c>
      <c r="G445" s="32" t="s">
        <v>586</v>
      </c>
      <c r="I445" s="58">
        <v>99.4</v>
      </c>
      <c r="O445" s="30"/>
    </row>
    <row r="446" spans="1:64" ht="15" customHeight="1">
      <c r="A446" s="52" t="s">
        <v>1636</v>
      </c>
      <c r="B446" s="43" t="s">
        <v>323</v>
      </c>
      <c r="C446" s="43" t="s">
        <v>861</v>
      </c>
      <c r="D446" s="61" t="s">
        <v>1853</v>
      </c>
      <c r="E446" s="61"/>
      <c r="F446" s="61"/>
      <c r="G446" s="61"/>
      <c r="H446" s="43" t="s">
        <v>392</v>
      </c>
      <c r="I446" s="46">
        <v>17</v>
      </c>
      <c r="J446" s="46">
        <v>0</v>
      </c>
      <c r="K446" s="46">
        <f>I446*AO446</f>
        <v>0</v>
      </c>
      <c r="L446" s="46">
        <f>I446*AP446</f>
        <v>0</v>
      </c>
      <c r="M446" s="46">
        <f>I446*J446</f>
        <v>0</v>
      </c>
      <c r="N446" s="46">
        <v>0.4463</v>
      </c>
      <c r="O446" s="6" t="s">
        <v>1149</v>
      </c>
      <c r="Z446" s="46">
        <f>IF(AQ446="5",BJ446,0)</f>
        <v>0</v>
      </c>
      <c r="AB446" s="46">
        <f>IF(AQ446="1",BH446,0)</f>
        <v>0</v>
      </c>
      <c r="AC446" s="46">
        <f>IF(AQ446="1",BI446,0)</f>
        <v>0</v>
      </c>
      <c r="AD446" s="46">
        <f>IF(AQ446="7",BH446,0)</f>
        <v>0</v>
      </c>
      <c r="AE446" s="46">
        <f>IF(AQ446="7",BI446,0)</f>
        <v>0</v>
      </c>
      <c r="AF446" s="46">
        <f>IF(AQ446="2",BH446,0)</f>
        <v>0</v>
      </c>
      <c r="AG446" s="46">
        <f>IF(AQ446="2",BI446,0)</f>
        <v>0</v>
      </c>
      <c r="AH446" s="46">
        <f>IF(AQ446="0",BJ446,0)</f>
        <v>0</v>
      </c>
      <c r="AI446" s="1" t="s">
        <v>323</v>
      </c>
      <c r="AJ446" s="46">
        <f>IF(AN446=0,M446,0)</f>
        <v>0</v>
      </c>
      <c r="AK446" s="46">
        <f>IF(AN446=15,M446,0)</f>
        <v>0</v>
      </c>
      <c r="AL446" s="46">
        <f>IF(AN446=21,M446,0)</f>
        <v>0</v>
      </c>
      <c r="AN446" s="46">
        <v>21</v>
      </c>
      <c r="AO446" s="46">
        <f>J446*1</f>
        <v>0</v>
      </c>
      <c r="AP446" s="46">
        <f>J446*(1-1)</f>
        <v>0</v>
      </c>
      <c r="AQ446" s="42" t="s">
        <v>1648</v>
      </c>
      <c r="AV446" s="46">
        <f>AW446+AX446</f>
        <v>0</v>
      </c>
      <c r="AW446" s="46">
        <f>I446*AO446</f>
        <v>0</v>
      </c>
      <c r="AX446" s="46">
        <f>I446*AP446</f>
        <v>0</v>
      </c>
      <c r="AY446" s="42" t="s">
        <v>109</v>
      </c>
      <c r="AZ446" s="42" t="s">
        <v>1166</v>
      </c>
      <c r="BA446" s="1" t="s">
        <v>1213</v>
      </c>
      <c r="BC446" s="46">
        <f>AW446+AX446</f>
        <v>0</v>
      </c>
      <c r="BD446" s="46">
        <f>J446/(100-BE446)*100</f>
        <v>0</v>
      </c>
      <c r="BE446" s="46">
        <v>0</v>
      </c>
      <c r="BF446" s="46">
        <f>446</f>
        <v>446</v>
      </c>
      <c r="BH446" s="46">
        <f>I446*AO446</f>
        <v>0</v>
      </c>
      <c r="BI446" s="46">
        <f>I446*AP446</f>
        <v>0</v>
      </c>
      <c r="BJ446" s="46">
        <f>I446*J446</f>
        <v>0</v>
      </c>
      <c r="BK446" s="46"/>
      <c r="BL446" s="46">
        <v>87</v>
      </c>
    </row>
    <row r="447" spans="1:15" ht="15" customHeight="1">
      <c r="A447" s="10"/>
      <c r="D447" s="32" t="s">
        <v>1876</v>
      </c>
      <c r="G447" s="32" t="s">
        <v>1163</v>
      </c>
      <c r="I447" s="58">
        <v>17</v>
      </c>
      <c r="O447" s="30"/>
    </row>
    <row r="448" spans="1:64" ht="15" customHeight="1">
      <c r="A448" s="52" t="s">
        <v>1289</v>
      </c>
      <c r="B448" s="43" t="s">
        <v>323</v>
      </c>
      <c r="C448" s="43" t="s">
        <v>1458</v>
      </c>
      <c r="D448" s="61" t="s">
        <v>640</v>
      </c>
      <c r="E448" s="61"/>
      <c r="F448" s="61"/>
      <c r="G448" s="61"/>
      <c r="H448" s="43" t="s">
        <v>392</v>
      </c>
      <c r="I448" s="46">
        <v>1</v>
      </c>
      <c r="J448" s="46">
        <v>0</v>
      </c>
      <c r="K448" s="46">
        <f>I448*AO448</f>
        <v>0</v>
      </c>
      <c r="L448" s="46">
        <f>I448*AP448</f>
        <v>0</v>
      </c>
      <c r="M448" s="46">
        <f>I448*J448</f>
        <v>0</v>
      </c>
      <c r="N448" s="46">
        <v>0.00015</v>
      </c>
      <c r="O448" s="6" t="s">
        <v>1149</v>
      </c>
      <c r="Z448" s="46">
        <f>IF(AQ448="5",BJ448,0)</f>
        <v>0</v>
      </c>
      <c r="AB448" s="46">
        <f>IF(AQ448="1",BH448,0)</f>
        <v>0</v>
      </c>
      <c r="AC448" s="46">
        <f>IF(AQ448="1",BI448,0)</f>
        <v>0</v>
      </c>
      <c r="AD448" s="46">
        <f>IF(AQ448="7",BH448,0)</f>
        <v>0</v>
      </c>
      <c r="AE448" s="46">
        <f>IF(AQ448="7",BI448,0)</f>
        <v>0</v>
      </c>
      <c r="AF448" s="46">
        <f>IF(AQ448="2",BH448,0)</f>
        <v>0</v>
      </c>
      <c r="AG448" s="46">
        <f>IF(AQ448="2",BI448,0)</f>
        <v>0</v>
      </c>
      <c r="AH448" s="46">
        <f>IF(AQ448="0",BJ448,0)</f>
        <v>0</v>
      </c>
      <c r="AI448" s="1" t="s">
        <v>323</v>
      </c>
      <c r="AJ448" s="46">
        <f>IF(AN448=0,M448,0)</f>
        <v>0</v>
      </c>
      <c r="AK448" s="46">
        <f>IF(AN448=15,M448,0)</f>
        <v>0</v>
      </c>
      <c r="AL448" s="46">
        <f>IF(AN448=21,M448,0)</f>
        <v>0</v>
      </c>
      <c r="AN448" s="46">
        <v>21</v>
      </c>
      <c r="AO448" s="46">
        <f>J448*0.0117908787541713</f>
        <v>0</v>
      </c>
      <c r="AP448" s="46">
        <f>J448*(1-0.0117908787541713)</f>
        <v>0</v>
      </c>
      <c r="AQ448" s="42" t="s">
        <v>1648</v>
      </c>
      <c r="AV448" s="46">
        <f>AW448+AX448</f>
        <v>0</v>
      </c>
      <c r="AW448" s="46">
        <f>I448*AO448</f>
        <v>0</v>
      </c>
      <c r="AX448" s="46">
        <f>I448*AP448</f>
        <v>0</v>
      </c>
      <c r="AY448" s="42" t="s">
        <v>109</v>
      </c>
      <c r="AZ448" s="42" t="s">
        <v>1166</v>
      </c>
      <c r="BA448" s="1" t="s">
        <v>1213</v>
      </c>
      <c r="BC448" s="46">
        <f>AW448+AX448</f>
        <v>0</v>
      </c>
      <c r="BD448" s="46">
        <f>J448/(100-BE448)*100</f>
        <v>0</v>
      </c>
      <c r="BE448" s="46">
        <v>0</v>
      </c>
      <c r="BF448" s="46">
        <f>448</f>
        <v>448</v>
      </c>
      <c r="BH448" s="46">
        <f>I448*AO448</f>
        <v>0</v>
      </c>
      <c r="BI448" s="46">
        <f>I448*AP448</f>
        <v>0</v>
      </c>
      <c r="BJ448" s="46">
        <f>I448*J448</f>
        <v>0</v>
      </c>
      <c r="BK448" s="46"/>
      <c r="BL448" s="46">
        <v>87</v>
      </c>
    </row>
    <row r="449" spans="1:64" ht="15" customHeight="1">
      <c r="A449" s="52" t="s">
        <v>1059</v>
      </c>
      <c r="B449" s="43" t="s">
        <v>323</v>
      </c>
      <c r="C449" s="43" t="s">
        <v>507</v>
      </c>
      <c r="D449" s="61" t="s">
        <v>1394</v>
      </c>
      <c r="E449" s="61"/>
      <c r="F449" s="61"/>
      <c r="G449" s="61"/>
      <c r="H449" s="43" t="s">
        <v>392</v>
      </c>
      <c r="I449" s="46">
        <v>1</v>
      </c>
      <c r="J449" s="46">
        <v>0</v>
      </c>
      <c r="K449" s="46">
        <f>I449*AO449</f>
        <v>0</v>
      </c>
      <c r="L449" s="46">
        <f>I449*AP449</f>
        <v>0</v>
      </c>
      <c r="M449" s="46">
        <f>I449*J449</f>
        <v>0</v>
      </c>
      <c r="N449" s="46">
        <v>0.0122</v>
      </c>
      <c r="O449" s="6" t="s">
        <v>1149</v>
      </c>
      <c r="Z449" s="46">
        <f>IF(AQ449="5",BJ449,0)</f>
        <v>0</v>
      </c>
      <c r="AB449" s="46">
        <f>IF(AQ449="1",BH449,0)</f>
        <v>0</v>
      </c>
      <c r="AC449" s="46">
        <f>IF(AQ449="1",BI449,0)</f>
        <v>0</v>
      </c>
      <c r="AD449" s="46">
        <f>IF(AQ449="7",BH449,0)</f>
        <v>0</v>
      </c>
      <c r="AE449" s="46">
        <f>IF(AQ449="7",BI449,0)</f>
        <v>0</v>
      </c>
      <c r="AF449" s="46">
        <f>IF(AQ449="2",BH449,0)</f>
        <v>0</v>
      </c>
      <c r="AG449" s="46">
        <f>IF(AQ449="2",BI449,0)</f>
        <v>0</v>
      </c>
      <c r="AH449" s="46">
        <f>IF(AQ449="0",BJ449,0)</f>
        <v>0</v>
      </c>
      <c r="AI449" s="1" t="s">
        <v>323</v>
      </c>
      <c r="AJ449" s="46">
        <f>IF(AN449=0,M449,0)</f>
        <v>0</v>
      </c>
      <c r="AK449" s="46">
        <f>IF(AN449=15,M449,0)</f>
        <v>0</v>
      </c>
      <c r="AL449" s="46">
        <f>IF(AN449=21,M449,0)</f>
        <v>0</v>
      </c>
      <c r="AN449" s="46">
        <v>21</v>
      </c>
      <c r="AO449" s="46">
        <f>J449*1</f>
        <v>0</v>
      </c>
      <c r="AP449" s="46">
        <f>J449*(1-1)</f>
        <v>0</v>
      </c>
      <c r="AQ449" s="42" t="s">
        <v>1648</v>
      </c>
      <c r="AV449" s="46">
        <f>AW449+AX449</f>
        <v>0</v>
      </c>
      <c r="AW449" s="46">
        <f>I449*AO449</f>
        <v>0</v>
      </c>
      <c r="AX449" s="46">
        <f>I449*AP449</f>
        <v>0</v>
      </c>
      <c r="AY449" s="42" t="s">
        <v>109</v>
      </c>
      <c r="AZ449" s="42" t="s">
        <v>1166</v>
      </c>
      <c r="BA449" s="1" t="s">
        <v>1213</v>
      </c>
      <c r="BC449" s="46">
        <f>AW449+AX449</f>
        <v>0</v>
      </c>
      <c r="BD449" s="46">
        <f>J449/(100-BE449)*100</f>
        <v>0</v>
      </c>
      <c r="BE449" s="46">
        <v>0</v>
      </c>
      <c r="BF449" s="46">
        <f>449</f>
        <v>449</v>
      </c>
      <c r="BH449" s="46">
        <f>I449*AO449</f>
        <v>0</v>
      </c>
      <c r="BI449" s="46">
        <f>I449*AP449</f>
        <v>0</v>
      </c>
      <c r="BJ449" s="46">
        <f>I449*J449</f>
        <v>0</v>
      </c>
      <c r="BK449" s="46"/>
      <c r="BL449" s="46">
        <v>87</v>
      </c>
    </row>
    <row r="450" spans="1:64" ht="15" customHeight="1">
      <c r="A450" s="52" t="s">
        <v>159</v>
      </c>
      <c r="B450" s="43" t="s">
        <v>323</v>
      </c>
      <c r="C450" s="43" t="s">
        <v>1105</v>
      </c>
      <c r="D450" s="61" t="s">
        <v>286</v>
      </c>
      <c r="E450" s="61"/>
      <c r="F450" s="61"/>
      <c r="G450" s="61"/>
      <c r="H450" s="43" t="s">
        <v>392</v>
      </c>
      <c r="I450" s="46">
        <v>24</v>
      </c>
      <c r="J450" s="46">
        <v>0</v>
      </c>
      <c r="K450" s="46">
        <f>I450*AO450</f>
        <v>0</v>
      </c>
      <c r="L450" s="46">
        <f>I450*AP450</f>
        <v>0</v>
      </c>
      <c r="M450" s="46">
        <f>I450*J450</f>
        <v>0</v>
      </c>
      <c r="N450" s="46">
        <v>0.00017</v>
      </c>
      <c r="O450" s="6" t="s">
        <v>1149</v>
      </c>
      <c r="Z450" s="46">
        <f>IF(AQ450="5",BJ450,0)</f>
        <v>0</v>
      </c>
      <c r="AB450" s="46">
        <f>IF(AQ450="1",BH450,0)</f>
        <v>0</v>
      </c>
      <c r="AC450" s="46">
        <f>IF(AQ450="1",BI450,0)</f>
        <v>0</v>
      </c>
      <c r="AD450" s="46">
        <f>IF(AQ450="7",BH450,0)</f>
        <v>0</v>
      </c>
      <c r="AE450" s="46">
        <f>IF(AQ450="7",BI450,0)</f>
        <v>0</v>
      </c>
      <c r="AF450" s="46">
        <f>IF(AQ450="2",BH450,0)</f>
        <v>0</v>
      </c>
      <c r="AG450" s="46">
        <f>IF(AQ450="2",BI450,0)</f>
        <v>0</v>
      </c>
      <c r="AH450" s="46">
        <f>IF(AQ450="0",BJ450,0)</f>
        <v>0</v>
      </c>
      <c r="AI450" s="1" t="s">
        <v>323</v>
      </c>
      <c r="AJ450" s="46">
        <f>IF(AN450=0,M450,0)</f>
        <v>0</v>
      </c>
      <c r="AK450" s="46">
        <f>IF(AN450=15,M450,0)</f>
        <v>0</v>
      </c>
      <c r="AL450" s="46">
        <f>IF(AN450=21,M450,0)</f>
        <v>0</v>
      </c>
      <c r="AN450" s="46">
        <v>21</v>
      </c>
      <c r="AO450" s="46">
        <f>J450*0.00667420687801655</f>
        <v>0</v>
      </c>
      <c r="AP450" s="46">
        <f>J450*(1-0.00667420687801655)</f>
        <v>0</v>
      </c>
      <c r="AQ450" s="42" t="s">
        <v>1648</v>
      </c>
      <c r="AV450" s="46">
        <f>AW450+AX450</f>
        <v>0</v>
      </c>
      <c r="AW450" s="46">
        <f>I450*AO450</f>
        <v>0</v>
      </c>
      <c r="AX450" s="46">
        <f>I450*AP450</f>
        <v>0</v>
      </c>
      <c r="AY450" s="42" t="s">
        <v>109</v>
      </c>
      <c r="AZ450" s="42" t="s">
        <v>1166</v>
      </c>
      <c r="BA450" s="1" t="s">
        <v>1213</v>
      </c>
      <c r="BC450" s="46">
        <f>AW450+AX450</f>
        <v>0</v>
      </c>
      <c r="BD450" s="46">
        <f>J450/(100-BE450)*100</f>
        <v>0</v>
      </c>
      <c r="BE450" s="46">
        <v>0</v>
      </c>
      <c r="BF450" s="46">
        <f>450</f>
        <v>450</v>
      </c>
      <c r="BH450" s="46">
        <f>I450*AO450</f>
        <v>0</v>
      </c>
      <c r="BI450" s="46">
        <f>I450*AP450</f>
        <v>0</v>
      </c>
      <c r="BJ450" s="46">
        <f>I450*J450</f>
        <v>0</v>
      </c>
      <c r="BK450" s="46"/>
      <c r="BL450" s="46">
        <v>87</v>
      </c>
    </row>
    <row r="451" spans="1:15" ht="15" customHeight="1">
      <c r="A451" s="10"/>
      <c r="D451" s="32" t="s">
        <v>160</v>
      </c>
      <c r="G451" s="32" t="s">
        <v>1667</v>
      </c>
      <c r="I451" s="58">
        <v>24.000000000000004</v>
      </c>
      <c r="O451" s="30"/>
    </row>
    <row r="452" spans="1:64" ht="15" customHeight="1">
      <c r="A452" s="52" t="s">
        <v>1152</v>
      </c>
      <c r="B452" s="43" t="s">
        <v>323</v>
      </c>
      <c r="C452" s="43" t="s">
        <v>512</v>
      </c>
      <c r="D452" s="61" t="s">
        <v>704</v>
      </c>
      <c r="E452" s="61"/>
      <c r="F452" s="61"/>
      <c r="G452" s="61"/>
      <c r="H452" s="43" t="s">
        <v>392</v>
      </c>
      <c r="I452" s="46">
        <v>13</v>
      </c>
      <c r="J452" s="46">
        <v>0</v>
      </c>
      <c r="K452" s="46">
        <f>I452*AO452</f>
        <v>0</v>
      </c>
      <c r="L452" s="46">
        <f>I452*AP452</f>
        <v>0</v>
      </c>
      <c r="M452" s="46">
        <f>I452*J452</f>
        <v>0</v>
      </c>
      <c r="N452" s="46">
        <v>0.00028</v>
      </c>
      <c r="O452" s="6" t="s">
        <v>1149</v>
      </c>
      <c r="Z452" s="46">
        <f>IF(AQ452="5",BJ452,0)</f>
        <v>0</v>
      </c>
      <c r="AB452" s="46">
        <f>IF(AQ452="1",BH452,0)</f>
        <v>0</v>
      </c>
      <c r="AC452" s="46">
        <f>IF(AQ452="1",BI452,0)</f>
        <v>0</v>
      </c>
      <c r="AD452" s="46">
        <f>IF(AQ452="7",BH452,0)</f>
        <v>0</v>
      </c>
      <c r="AE452" s="46">
        <f>IF(AQ452="7",BI452,0)</f>
        <v>0</v>
      </c>
      <c r="AF452" s="46">
        <f>IF(AQ452="2",BH452,0)</f>
        <v>0</v>
      </c>
      <c r="AG452" s="46">
        <f>IF(AQ452="2",BI452,0)</f>
        <v>0</v>
      </c>
      <c r="AH452" s="46">
        <f>IF(AQ452="0",BJ452,0)</f>
        <v>0</v>
      </c>
      <c r="AI452" s="1" t="s">
        <v>323</v>
      </c>
      <c r="AJ452" s="46">
        <f>IF(AN452=0,M452,0)</f>
        <v>0</v>
      </c>
      <c r="AK452" s="46">
        <f>IF(AN452=15,M452,0)</f>
        <v>0</v>
      </c>
      <c r="AL452" s="46">
        <f>IF(AN452=21,M452,0)</f>
        <v>0</v>
      </c>
      <c r="AN452" s="46">
        <v>21</v>
      </c>
      <c r="AO452" s="46">
        <f>J452*0.00803104575163399</f>
        <v>0</v>
      </c>
      <c r="AP452" s="46">
        <f>J452*(1-0.00803104575163399)</f>
        <v>0</v>
      </c>
      <c r="AQ452" s="42" t="s">
        <v>1648</v>
      </c>
      <c r="AV452" s="46">
        <f>AW452+AX452</f>
        <v>0</v>
      </c>
      <c r="AW452" s="46">
        <f>I452*AO452</f>
        <v>0</v>
      </c>
      <c r="AX452" s="46">
        <f>I452*AP452</f>
        <v>0</v>
      </c>
      <c r="AY452" s="42" t="s">
        <v>109</v>
      </c>
      <c r="AZ452" s="42" t="s">
        <v>1166</v>
      </c>
      <c r="BA452" s="1" t="s">
        <v>1213</v>
      </c>
      <c r="BC452" s="46">
        <f>AW452+AX452</f>
        <v>0</v>
      </c>
      <c r="BD452" s="46">
        <f>J452/(100-BE452)*100</f>
        <v>0</v>
      </c>
      <c r="BE452" s="46">
        <v>0</v>
      </c>
      <c r="BF452" s="46">
        <f>452</f>
        <v>452</v>
      </c>
      <c r="BH452" s="46">
        <f>I452*AO452</f>
        <v>0</v>
      </c>
      <c r="BI452" s="46">
        <f>I452*AP452</f>
        <v>0</v>
      </c>
      <c r="BJ452" s="46">
        <f>I452*J452</f>
        <v>0</v>
      </c>
      <c r="BK452" s="46"/>
      <c r="BL452" s="46">
        <v>87</v>
      </c>
    </row>
    <row r="453" spans="1:15" ht="15" customHeight="1">
      <c r="A453" s="10"/>
      <c r="D453" s="32" t="s">
        <v>472</v>
      </c>
      <c r="G453" s="32" t="s">
        <v>1667</v>
      </c>
      <c r="I453" s="58">
        <v>13.000000000000002</v>
      </c>
      <c r="O453" s="30"/>
    </row>
    <row r="454" spans="1:64" ht="15" customHeight="1">
      <c r="A454" s="52" t="s">
        <v>1296</v>
      </c>
      <c r="B454" s="43" t="s">
        <v>323</v>
      </c>
      <c r="C454" s="43" t="s">
        <v>2</v>
      </c>
      <c r="D454" s="61" t="s">
        <v>483</v>
      </c>
      <c r="E454" s="61"/>
      <c r="F454" s="61"/>
      <c r="G454" s="61"/>
      <c r="H454" s="43" t="s">
        <v>392</v>
      </c>
      <c r="I454" s="46">
        <v>6</v>
      </c>
      <c r="J454" s="46">
        <v>0</v>
      </c>
      <c r="K454" s="46">
        <f>I454*AO454</f>
        <v>0</v>
      </c>
      <c r="L454" s="46">
        <f>I454*AP454</f>
        <v>0</v>
      </c>
      <c r="M454" s="46">
        <f>I454*J454</f>
        <v>0</v>
      </c>
      <c r="N454" s="46">
        <v>0.00039</v>
      </c>
      <c r="O454" s="6" t="s">
        <v>1149</v>
      </c>
      <c r="Z454" s="46">
        <f>IF(AQ454="5",BJ454,0)</f>
        <v>0</v>
      </c>
      <c r="AB454" s="46">
        <f>IF(AQ454="1",BH454,0)</f>
        <v>0</v>
      </c>
      <c r="AC454" s="46">
        <f>IF(AQ454="1",BI454,0)</f>
        <v>0</v>
      </c>
      <c r="AD454" s="46">
        <f>IF(AQ454="7",BH454,0)</f>
        <v>0</v>
      </c>
      <c r="AE454" s="46">
        <f>IF(AQ454="7",BI454,0)</f>
        <v>0</v>
      </c>
      <c r="AF454" s="46">
        <f>IF(AQ454="2",BH454,0)</f>
        <v>0</v>
      </c>
      <c r="AG454" s="46">
        <f>IF(AQ454="2",BI454,0)</f>
        <v>0</v>
      </c>
      <c r="AH454" s="46">
        <f>IF(AQ454="0",BJ454,0)</f>
        <v>0</v>
      </c>
      <c r="AI454" s="1" t="s">
        <v>323</v>
      </c>
      <c r="AJ454" s="46">
        <f>IF(AN454=0,M454,0)</f>
        <v>0</v>
      </c>
      <c r="AK454" s="46">
        <f>IF(AN454=15,M454,0)</f>
        <v>0</v>
      </c>
      <c r="AL454" s="46">
        <f>IF(AN454=21,M454,0)</f>
        <v>0</v>
      </c>
      <c r="AN454" s="46">
        <v>21</v>
      </c>
      <c r="AO454" s="46">
        <f>J454*0.00882506527415144</f>
        <v>0</v>
      </c>
      <c r="AP454" s="46">
        <f>J454*(1-0.00882506527415144)</f>
        <v>0</v>
      </c>
      <c r="AQ454" s="42" t="s">
        <v>1648</v>
      </c>
      <c r="AV454" s="46">
        <f>AW454+AX454</f>
        <v>0</v>
      </c>
      <c r="AW454" s="46">
        <f>I454*AO454</f>
        <v>0</v>
      </c>
      <c r="AX454" s="46">
        <f>I454*AP454</f>
        <v>0</v>
      </c>
      <c r="AY454" s="42" t="s">
        <v>109</v>
      </c>
      <c r="AZ454" s="42" t="s">
        <v>1166</v>
      </c>
      <c r="BA454" s="1" t="s">
        <v>1213</v>
      </c>
      <c r="BC454" s="46">
        <f>AW454+AX454</f>
        <v>0</v>
      </c>
      <c r="BD454" s="46">
        <f>J454/(100-BE454)*100</f>
        <v>0</v>
      </c>
      <c r="BE454" s="46">
        <v>0</v>
      </c>
      <c r="BF454" s="46">
        <f>454</f>
        <v>454</v>
      </c>
      <c r="BH454" s="46">
        <f>I454*AO454</f>
        <v>0</v>
      </c>
      <c r="BI454" s="46">
        <f>I454*AP454</f>
        <v>0</v>
      </c>
      <c r="BJ454" s="46">
        <f>I454*J454</f>
        <v>0</v>
      </c>
      <c r="BK454" s="46"/>
      <c r="BL454" s="46">
        <v>87</v>
      </c>
    </row>
    <row r="455" spans="1:15" ht="15" customHeight="1">
      <c r="A455" s="10"/>
      <c r="D455" s="32" t="s">
        <v>269</v>
      </c>
      <c r="G455" s="32" t="s">
        <v>1667</v>
      </c>
      <c r="I455" s="58">
        <v>6.000000000000001</v>
      </c>
      <c r="O455" s="30"/>
    </row>
    <row r="456" spans="1:64" ht="15" customHeight="1">
      <c r="A456" s="52" t="s">
        <v>374</v>
      </c>
      <c r="B456" s="43" t="s">
        <v>323</v>
      </c>
      <c r="C456" s="43" t="s">
        <v>267</v>
      </c>
      <c r="D456" s="61" t="s">
        <v>876</v>
      </c>
      <c r="E456" s="61"/>
      <c r="F456" s="61"/>
      <c r="G456" s="61"/>
      <c r="H456" s="43" t="s">
        <v>392</v>
      </c>
      <c r="I456" s="46">
        <v>43</v>
      </c>
      <c r="J456" s="46">
        <v>0</v>
      </c>
      <c r="K456" s="46">
        <f>I456*AO456</f>
        <v>0</v>
      </c>
      <c r="L456" s="46">
        <f>I456*AP456</f>
        <v>0</v>
      </c>
      <c r="M456" s="46">
        <f>I456*J456</f>
        <v>0</v>
      </c>
      <c r="N456" s="46">
        <v>0.0024</v>
      </c>
      <c r="O456" s="6" t="s">
        <v>1149</v>
      </c>
      <c r="Z456" s="46">
        <f>IF(AQ456="5",BJ456,0)</f>
        <v>0</v>
      </c>
      <c r="AB456" s="46">
        <f>IF(AQ456="1",BH456,0)</f>
        <v>0</v>
      </c>
      <c r="AC456" s="46">
        <f>IF(AQ456="1",BI456,0)</f>
        <v>0</v>
      </c>
      <c r="AD456" s="46">
        <f>IF(AQ456="7",BH456,0)</f>
        <v>0</v>
      </c>
      <c r="AE456" s="46">
        <f>IF(AQ456="7",BI456,0)</f>
        <v>0</v>
      </c>
      <c r="AF456" s="46">
        <f>IF(AQ456="2",BH456,0)</f>
        <v>0</v>
      </c>
      <c r="AG456" s="46">
        <f>IF(AQ456="2",BI456,0)</f>
        <v>0</v>
      </c>
      <c r="AH456" s="46">
        <f>IF(AQ456="0",BJ456,0)</f>
        <v>0</v>
      </c>
      <c r="AI456" s="1" t="s">
        <v>323</v>
      </c>
      <c r="AJ456" s="46">
        <f>IF(AN456=0,M456,0)</f>
        <v>0</v>
      </c>
      <c r="AK456" s="46">
        <f>IF(AN456=15,M456,0)</f>
        <v>0</v>
      </c>
      <c r="AL456" s="46">
        <f>IF(AN456=21,M456,0)</f>
        <v>0</v>
      </c>
      <c r="AN456" s="46">
        <v>21</v>
      </c>
      <c r="AO456" s="46">
        <f>J456*1</f>
        <v>0</v>
      </c>
      <c r="AP456" s="46">
        <f>J456*(1-1)</f>
        <v>0</v>
      </c>
      <c r="AQ456" s="42" t="s">
        <v>1648</v>
      </c>
      <c r="AV456" s="46">
        <f>AW456+AX456</f>
        <v>0</v>
      </c>
      <c r="AW456" s="46">
        <f>I456*AO456</f>
        <v>0</v>
      </c>
      <c r="AX456" s="46">
        <f>I456*AP456</f>
        <v>0</v>
      </c>
      <c r="AY456" s="42" t="s">
        <v>109</v>
      </c>
      <c r="AZ456" s="42" t="s">
        <v>1166</v>
      </c>
      <c r="BA456" s="1" t="s">
        <v>1213</v>
      </c>
      <c r="BC456" s="46">
        <f>AW456+AX456</f>
        <v>0</v>
      </c>
      <c r="BD456" s="46">
        <f>J456/(100-BE456)*100</f>
        <v>0</v>
      </c>
      <c r="BE456" s="46">
        <v>0</v>
      </c>
      <c r="BF456" s="46">
        <f>456</f>
        <v>456</v>
      </c>
      <c r="BH456" s="46">
        <f>I456*AO456</f>
        <v>0</v>
      </c>
      <c r="BI456" s="46">
        <f>I456*AP456</f>
        <v>0</v>
      </c>
      <c r="BJ456" s="46">
        <f>I456*J456</f>
        <v>0</v>
      </c>
      <c r="BK456" s="46"/>
      <c r="BL456" s="46">
        <v>87</v>
      </c>
    </row>
    <row r="457" spans="1:15" ht="15" customHeight="1">
      <c r="A457" s="10"/>
      <c r="D457" s="32" t="s">
        <v>1708</v>
      </c>
      <c r="G457" s="32" t="s">
        <v>1163</v>
      </c>
      <c r="I457" s="58">
        <v>43</v>
      </c>
      <c r="O457" s="30"/>
    </row>
    <row r="458" spans="1:64" ht="15" customHeight="1">
      <c r="A458" s="52" t="s">
        <v>1845</v>
      </c>
      <c r="B458" s="43" t="s">
        <v>323</v>
      </c>
      <c r="C458" s="43" t="s">
        <v>887</v>
      </c>
      <c r="D458" s="61" t="s">
        <v>1122</v>
      </c>
      <c r="E458" s="61"/>
      <c r="F458" s="61"/>
      <c r="G458" s="61"/>
      <c r="H458" s="43" t="s">
        <v>1365</v>
      </c>
      <c r="I458" s="46">
        <v>6</v>
      </c>
      <c r="J458" s="46">
        <v>0</v>
      </c>
      <c r="K458" s="46">
        <f>I458*AO458</f>
        <v>0</v>
      </c>
      <c r="L458" s="46">
        <f>I458*AP458</f>
        <v>0</v>
      </c>
      <c r="M458" s="46">
        <f>I458*J458</f>
        <v>0</v>
      </c>
      <c r="N458" s="46">
        <v>1E-05</v>
      </c>
      <c r="O458" s="6" t="s">
        <v>1149</v>
      </c>
      <c r="Z458" s="46">
        <f>IF(AQ458="5",BJ458,0)</f>
        <v>0</v>
      </c>
      <c r="AB458" s="46">
        <f>IF(AQ458="1",BH458,0)</f>
        <v>0</v>
      </c>
      <c r="AC458" s="46">
        <f>IF(AQ458="1",BI458,0)</f>
        <v>0</v>
      </c>
      <c r="AD458" s="46">
        <f>IF(AQ458="7",BH458,0)</f>
        <v>0</v>
      </c>
      <c r="AE458" s="46">
        <f>IF(AQ458="7",BI458,0)</f>
        <v>0</v>
      </c>
      <c r="AF458" s="46">
        <f>IF(AQ458="2",BH458,0)</f>
        <v>0</v>
      </c>
      <c r="AG458" s="46">
        <f>IF(AQ458="2",BI458,0)</f>
        <v>0</v>
      </c>
      <c r="AH458" s="46">
        <f>IF(AQ458="0",BJ458,0)</f>
        <v>0</v>
      </c>
      <c r="AI458" s="1" t="s">
        <v>323</v>
      </c>
      <c r="AJ458" s="46">
        <f>IF(AN458=0,M458,0)</f>
        <v>0</v>
      </c>
      <c r="AK458" s="46">
        <f>IF(AN458=15,M458,0)</f>
        <v>0</v>
      </c>
      <c r="AL458" s="46">
        <f>IF(AN458=21,M458,0)</f>
        <v>0</v>
      </c>
      <c r="AN458" s="46">
        <v>21</v>
      </c>
      <c r="AO458" s="46">
        <f>J458*0.006</f>
        <v>0</v>
      </c>
      <c r="AP458" s="46">
        <f>J458*(1-0.006)</f>
        <v>0</v>
      </c>
      <c r="AQ458" s="42" t="s">
        <v>1648</v>
      </c>
      <c r="AV458" s="46">
        <f>AW458+AX458</f>
        <v>0</v>
      </c>
      <c r="AW458" s="46">
        <f>I458*AO458</f>
        <v>0</v>
      </c>
      <c r="AX458" s="46">
        <f>I458*AP458</f>
        <v>0</v>
      </c>
      <c r="AY458" s="42" t="s">
        <v>109</v>
      </c>
      <c r="AZ458" s="42" t="s">
        <v>1166</v>
      </c>
      <c r="BA458" s="1" t="s">
        <v>1213</v>
      </c>
      <c r="BC458" s="46">
        <f>AW458+AX458</f>
        <v>0</v>
      </c>
      <c r="BD458" s="46">
        <f>J458/(100-BE458)*100</f>
        <v>0</v>
      </c>
      <c r="BE458" s="46">
        <v>0</v>
      </c>
      <c r="BF458" s="46">
        <f>458</f>
        <v>458</v>
      </c>
      <c r="BH458" s="46">
        <f>I458*AO458</f>
        <v>0</v>
      </c>
      <c r="BI458" s="46">
        <f>I458*AP458</f>
        <v>0</v>
      </c>
      <c r="BJ458" s="46">
        <f>I458*J458</f>
        <v>0</v>
      </c>
      <c r="BK458" s="46"/>
      <c r="BL458" s="46">
        <v>87</v>
      </c>
    </row>
    <row r="459" spans="1:15" ht="15" customHeight="1">
      <c r="A459" s="10"/>
      <c r="D459" s="32" t="s">
        <v>269</v>
      </c>
      <c r="G459" s="32" t="s">
        <v>1547</v>
      </c>
      <c r="I459" s="58">
        <v>6.000000000000001</v>
      </c>
      <c r="O459" s="30"/>
    </row>
    <row r="460" spans="1:64" ht="15" customHeight="1">
      <c r="A460" s="52" t="s">
        <v>949</v>
      </c>
      <c r="B460" s="43" t="s">
        <v>323</v>
      </c>
      <c r="C460" s="43" t="s">
        <v>806</v>
      </c>
      <c r="D460" s="61" t="s">
        <v>1464</v>
      </c>
      <c r="E460" s="61"/>
      <c r="F460" s="61"/>
      <c r="G460" s="61"/>
      <c r="H460" s="43" t="s">
        <v>392</v>
      </c>
      <c r="I460" s="46">
        <v>1</v>
      </c>
      <c r="J460" s="46">
        <v>0</v>
      </c>
      <c r="K460" s="46">
        <f>I460*AO460</f>
        <v>0</v>
      </c>
      <c r="L460" s="46">
        <f>I460*AP460</f>
        <v>0</v>
      </c>
      <c r="M460" s="46">
        <f>I460*J460</f>
        <v>0</v>
      </c>
      <c r="N460" s="46">
        <v>0.0659</v>
      </c>
      <c r="O460" s="6" t="s">
        <v>1149</v>
      </c>
      <c r="Z460" s="46">
        <f>IF(AQ460="5",BJ460,0)</f>
        <v>0</v>
      </c>
      <c r="AB460" s="46">
        <f>IF(AQ460="1",BH460,0)</f>
        <v>0</v>
      </c>
      <c r="AC460" s="46">
        <f>IF(AQ460="1",BI460,0)</f>
        <v>0</v>
      </c>
      <c r="AD460" s="46">
        <f>IF(AQ460="7",BH460,0)</f>
        <v>0</v>
      </c>
      <c r="AE460" s="46">
        <f>IF(AQ460="7",BI460,0)</f>
        <v>0</v>
      </c>
      <c r="AF460" s="46">
        <f>IF(AQ460="2",BH460,0)</f>
        <v>0</v>
      </c>
      <c r="AG460" s="46">
        <f>IF(AQ460="2",BI460,0)</f>
        <v>0</v>
      </c>
      <c r="AH460" s="46">
        <f>IF(AQ460="0",BJ460,0)</f>
        <v>0</v>
      </c>
      <c r="AI460" s="1" t="s">
        <v>323</v>
      </c>
      <c r="AJ460" s="46">
        <f>IF(AN460=0,M460,0)</f>
        <v>0</v>
      </c>
      <c r="AK460" s="46">
        <f>IF(AN460=15,M460,0)</f>
        <v>0</v>
      </c>
      <c r="AL460" s="46">
        <f>IF(AN460=21,M460,0)</f>
        <v>0</v>
      </c>
      <c r="AN460" s="46">
        <v>21</v>
      </c>
      <c r="AO460" s="46">
        <f>J460*1</f>
        <v>0</v>
      </c>
      <c r="AP460" s="46">
        <f>J460*(1-1)</f>
        <v>0</v>
      </c>
      <c r="AQ460" s="42" t="s">
        <v>1648</v>
      </c>
      <c r="AV460" s="46">
        <f>AW460+AX460</f>
        <v>0</v>
      </c>
      <c r="AW460" s="46">
        <f>I460*AO460</f>
        <v>0</v>
      </c>
      <c r="AX460" s="46">
        <f>I460*AP460</f>
        <v>0</v>
      </c>
      <c r="AY460" s="42" t="s">
        <v>109</v>
      </c>
      <c r="AZ460" s="42" t="s">
        <v>1166</v>
      </c>
      <c r="BA460" s="1" t="s">
        <v>1213</v>
      </c>
      <c r="BC460" s="46">
        <f>AW460+AX460</f>
        <v>0</v>
      </c>
      <c r="BD460" s="46">
        <f>J460/(100-BE460)*100</f>
        <v>0</v>
      </c>
      <c r="BE460" s="46">
        <v>0</v>
      </c>
      <c r="BF460" s="46">
        <f>460</f>
        <v>460</v>
      </c>
      <c r="BH460" s="46">
        <f>I460*AO460</f>
        <v>0</v>
      </c>
      <c r="BI460" s="46">
        <f>I460*AP460</f>
        <v>0</v>
      </c>
      <c r="BJ460" s="46">
        <f>I460*J460</f>
        <v>0</v>
      </c>
      <c r="BK460" s="46"/>
      <c r="BL460" s="46">
        <v>87</v>
      </c>
    </row>
    <row r="461" spans="1:15" ht="15" customHeight="1">
      <c r="A461" s="10"/>
      <c r="D461" s="32" t="s">
        <v>1648</v>
      </c>
      <c r="G461" s="32" t="s">
        <v>1163</v>
      </c>
      <c r="I461" s="58">
        <v>1</v>
      </c>
      <c r="O461" s="30"/>
    </row>
    <row r="462" spans="1:47" ht="15" customHeight="1">
      <c r="A462" s="3" t="s">
        <v>1163</v>
      </c>
      <c r="B462" s="9" t="s">
        <v>323</v>
      </c>
      <c r="C462" s="9" t="s">
        <v>1754</v>
      </c>
      <c r="D462" s="64" t="s">
        <v>1089</v>
      </c>
      <c r="E462" s="64"/>
      <c r="F462" s="64"/>
      <c r="G462" s="64"/>
      <c r="H462" s="41" t="s">
        <v>1537</v>
      </c>
      <c r="I462" s="41" t="s">
        <v>1537</v>
      </c>
      <c r="J462" s="41" t="s">
        <v>1537</v>
      </c>
      <c r="K462" s="50">
        <f>SUM(K463:K507)</f>
        <v>0</v>
      </c>
      <c r="L462" s="50">
        <f>SUM(L463:L507)</f>
        <v>0</v>
      </c>
      <c r="M462" s="50">
        <f>SUM(M463:M507)</f>
        <v>0</v>
      </c>
      <c r="N462" s="1" t="s">
        <v>1163</v>
      </c>
      <c r="O462" s="45" t="s">
        <v>1163</v>
      </c>
      <c r="AI462" s="1" t="s">
        <v>323</v>
      </c>
      <c r="AS462" s="50">
        <f>SUM(AJ463:AJ507)</f>
        <v>0</v>
      </c>
      <c r="AT462" s="50">
        <f>SUM(AK463:AK507)</f>
        <v>0</v>
      </c>
      <c r="AU462" s="50">
        <f>SUM(AL463:AL507)</f>
        <v>0</v>
      </c>
    </row>
    <row r="463" spans="1:64" ht="15" customHeight="1">
      <c r="A463" s="52" t="s">
        <v>390</v>
      </c>
      <c r="B463" s="43" t="s">
        <v>323</v>
      </c>
      <c r="C463" s="43" t="s">
        <v>240</v>
      </c>
      <c r="D463" s="61" t="s">
        <v>615</v>
      </c>
      <c r="E463" s="61"/>
      <c r="F463" s="61"/>
      <c r="G463" s="61"/>
      <c r="H463" s="43" t="s">
        <v>1365</v>
      </c>
      <c r="I463" s="46">
        <v>1265.11</v>
      </c>
      <c r="J463" s="46">
        <v>0</v>
      </c>
      <c r="K463" s="46">
        <f>I463*AO463</f>
        <v>0</v>
      </c>
      <c r="L463" s="46">
        <f>I463*AP463</f>
        <v>0</v>
      </c>
      <c r="M463" s="46">
        <f>I463*J463</f>
        <v>0</v>
      </c>
      <c r="N463" s="46">
        <v>0</v>
      </c>
      <c r="O463" s="6" t="s">
        <v>1149</v>
      </c>
      <c r="Z463" s="46">
        <f>IF(AQ463="5",BJ463,0)</f>
        <v>0</v>
      </c>
      <c r="AB463" s="46">
        <f>IF(AQ463="1",BH463,0)</f>
        <v>0</v>
      </c>
      <c r="AC463" s="46">
        <f>IF(AQ463="1",BI463,0)</f>
        <v>0</v>
      </c>
      <c r="AD463" s="46">
        <f>IF(AQ463="7",BH463,0)</f>
        <v>0</v>
      </c>
      <c r="AE463" s="46">
        <f>IF(AQ463="7",BI463,0)</f>
        <v>0</v>
      </c>
      <c r="AF463" s="46">
        <f>IF(AQ463="2",BH463,0)</f>
        <v>0</v>
      </c>
      <c r="AG463" s="46">
        <f>IF(AQ463="2",BI463,0)</f>
        <v>0</v>
      </c>
      <c r="AH463" s="46">
        <f>IF(AQ463="0",BJ463,0)</f>
        <v>0</v>
      </c>
      <c r="AI463" s="1" t="s">
        <v>323</v>
      </c>
      <c r="AJ463" s="46">
        <f>IF(AN463=0,M463,0)</f>
        <v>0</v>
      </c>
      <c r="AK463" s="46">
        <f>IF(AN463=15,M463,0)</f>
        <v>0</v>
      </c>
      <c r="AL463" s="46">
        <f>IF(AN463=21,M463,0)</f>
        <v>0</v>
      </c>
      <c r="AN463" s="46">
        <v>21</v>
      </c>
      <c r="AO463" s="46">
        <f>J463*0.322424165194363</f>
        <v>0</v>
      </c>
      <c r="AP463" s="46">
        <f>J463*(1-0.322424165194363)</f>
        <v>0</v>
      </c>
      <c r="AQ463" s="42" t="s">
        <v>1648</v>
      </c>
      <c r="AV463" s="46">
        <f>AW463+AX463</f>
        <v>0</v>
      </c>
      <c r="AW463" s="46">
        <f>I463*AO463</f>
        <v>0</v>
      </c>
      <c r="AX463" s="46">
        <f>I463*AP463</f>
        <v>0</v>
      </c>
      <c r="AY463" s="42" t="s">
        <v>132</v>
      </c>
      <c r="AZ463" s="42" t="s">
        <v>1166</v>
      </c>
      <c r="BA463" s="1" t="s">
        <v>1213</v>
      </c>
      <c r="BC463" s="46">
        <f>AW463+AX463</f>
        <v>0</v>
      </c>
      <c r="BD463" s="46">
        <f>J463/(100-BE463)*100</f>
        <v>0</v>
      </c>
      <c r="BE463" s="46">
        <v>0</v>
      </c>
      <c r="BF463" s="46">
        <f>463</f>
        <v>463</v>
      </c>
      <c r="BH463" s="46">
        <f>I463*AO463</f>
        <v>0</v>
      </c>
      <c r="BI463" s="46">
        <f>I463*AP463</f>
        <v>0</v>
      </c>
      <c r="BJ463" s="46">
        <f>I463*J463</f>
        <v>0</v>
      </c>
      <c r="BK463" s="46"/>
      <c r="BL463" s="46">
        <v>89</v>
      </c>
    </row>
    <row r="464" spans="1:15" ht="15" customHeight="1">
      <c r="A464" s="10"/>
      <c r="D464" s="32" t="s">
        <v>1565</v>
      </c>
      <c r="G464" s="32" t="s">
        <v>592</v>
      </c>
      <c r="I464" s="58">
        <v>400.84000000000003</v>
      </c>
      <c r="O464" s="30"/>
    </row>
    <row r="465" spans="1:15" ht="15" customHeight="1">
      <c r="A465" s="10"/>
      <c r="D465" s="32" t="s">
        <v>518</v>
      </c>
      <c r="G465" s="32" t="s">
        <v>1163</v>
      </c>
      <c r="I465" s="58">
        <v>536.25</v>
      </c>
      <c r="O465" s="30"/>
    </row>
    <row r="466" spans="1:15" ht="15" customHeight="1">
      <c r="A466" s="10"/>
      <c r="D466" s="32" t="s">
        <v>1308</v>
      </c>
      <c r="G466" s="32" t="s">
        <v>1163</v>
      </c>
      <c r="I466" s="58">
        <v>328.02000000000004</v>
      </c>
      <c r="O466" s="30"/>
    </row>
    <row r="467" spans="1:64" ht="15" customHeight="1">
      <c r="A467" s="52" t="s">
        <v>1268</v>
      </c>
      <c r="B467" s="43" t="s">
        <v>323</v>
      </c>
      <c r="C467" s="43" t="s">
        <v>500</v>
      </c>
      <c r="D467" s="61" t="s">
        <v>409</v>
      </c>
      <c r="E467" s="61"/>
      <c r="F467" s="61"/>
      <c r="G467" s="61"/>
      <c r="H467" s="43" t="s">
        <v>1365</v>
      </c>
      <c r="I467" s="46">
        <v>464</v>
      </c>
      <c r="J467" s="46">
        <v>0</v>
      </c>
      <c r="K467" s="46">
        <f>I467*AO467</f>
        <v>0</v>
      </c>
      <c r="L467" s="46">
        <f>I467*AP467</f>
        <v>0</v>
      </c>
      <c r="M467" s="46">
        <f>I467*J467</f>
        <v>0</v>
      </c>
      <c r="N467" s="46">
        <v>0</v>
      </c>
      <c r="O467" s="6" t="s">
        <v>1149</v>
      </c>
      <c r="Z467" s="46">
        <f>IF(AQ467="5",BJ467,0)</f>
        <v>0</v>
      </c>
      <c r="AB467" s="46">
        <f>IF(AQ467="1",BH467,0)</f>
        <v>0</v>
      </c>
      <c r="AC467" s="46">
        <f>IF(AQ467="1",BI467,0)</f>
        <v>0</v>
      </c>
      <c r="AD467" s="46">
        <f>IF(AQ467="7",BH467,0)</f>
        <v>0</v>
      </c>
      <c r="AE467" s="46">
        <f>IF(AQ467="7",BI467,0)</f>
        <v>0</v>
      </c>
      <c r="AF467" s="46">
        <f>IF(AQ467="2",BH467,0)</f>
        <v>0</v>
      </c>
      <c r="AG467" s="46">
        <f>IF(AQ467="2",BI467,0)</f>
        <v>0</v>
      </c>
      <c r="AH467" s="46">
        <f>IF(AQ467="0",BJ467,0)</f>
        <v>0</v>
      </c>
      <c r="AI467" s="1" t="s">
        <v>323</v>
      </c>
      <c r="AJ467" s="46">
        <f>IF(AN467=0,M467,0)</f>
        <v>0</v>
      </c>
      <c r="AK467" s="46">
        <f>IF(AN467=15,M467,0)</f>
        <v>0</v>
      </c>
      <c r="AL467" s="46">
        <f>IF(AN467=21,M467,0)</f>
        <v>0</v>
      </c>
      <c r="AN467" s="46">
        <v>21</v>
      </c>
      <c r="AO467" s="46">
        <f>J467*0</f>
        <v>0</v>
      </c>
      <c r="AP467" s="46">
        <f>J467*(1-0)</f>
        <v>0</v>
      </c>
      <c r="AQ467" s="42" t="s">
        <v>1648</v>
      </c>
      <c r="AV467" s="46">
        <f>AW467+AX467</f>
        <v>0</v>
      </c>
      <c r="AW467" s="46">
        <f>I467*AO467</f>
        <v>0</v>
      </c>
      <c r="AX467" s="46">
        <f>I467*AP467</f>
        <v>0</v>
      </c>
      <c r="AY467" s="42" t="s">
        <v>132</v>
      </c>
      <c r="AZ467" s="42" t="s">
        <v>1166</v>
      </c>
      <c r="BA467" s="1" t="s">
        <v>1213</v>
      </c>
      <c r="BC467" s="46">
        <f>AW467+AX467</f>
        <v>0</v>
      </c>
      <c r="BD467" s="46">
        <f>J467/(100-BE467)*100</f>
        <v>0</v>
      </c>
      <c r="BE467" s="46">
        <v>0</v>
      </c>
      <c r="BF467" s="46">
        <f>467</f>
        <v>467</v>
      </c>
      <c r="BH467" s="46">
        <f>I467*AO467</f>
        <v>0</v>
      </c>
      <c r="BI467" s="46">
        <f>I467*AP467</f>
        <v>0</v>
      </c>
      <c r="BJ467" s="46">
        <f>I467*J467</f>
        <v>0</v>
      </c>
      <c r="BK467" s="46"/>
      <c r="BL467" s="46">
        <v>89</v>
      </c>
    </row>
    <row r="468" spans="1:15" ht="15" customHeight="1">
      <c r="A468" s="10"/>
      <c r="D468" s="32" t="s">
        <v>1839</v>
      </c>
      <c r="G468" s="32" t="s">
        <v>502</v>
      </c>
      <c r="I468" s="58">
        <v>464.00000000000006</v>
      </c>
      <c r="O468" s="30"/>
    </row>
    <row r="469" spans="1:64" ht="15" customHeight="1">
      <c r="A469" s="52" t="s">
        <v>825</v>
      </c>
      <c r="B469" s="43" t="s">
        <v>323</v>
      </c>
      <c r="C469" s="43" t="s">
        <v>874</v>
      </c>
      <c r="D469" s="61" t="s">
        <v>1406</v>
      </c>
      <c r="E469" s="61"/>
      <c r="F469" s="61"/>
      <c r="G469" s="61"/>
      <c r="H469" s="43" t="s">
        <v>392</v>
      </c>
      <c r="I469" s="46">
        <v>10</v>
      </c>
      <c r="J469" s="46">
        <v>0</v>
      </c>
      <c r="K469" s="46">
        <f>I469*AO469</f>
        <v>0</v>
      </c>
      <c r="L469" s="46">
        <f>I469*AP469</f>
        <v>0</v>
      </c>
      <c r="M469" s="46">
        <f>I469*J469</f>
        <v>0</v>
      </c>
      <c r="N469" s="46">
        <v>0</v>
      </c>
      <c r="O469" s="6" t="s">
        <v>1149</v>
      </c>
      <c r="Z469" s="46">
        <f>IF(AQ469="5",BJ469,0)</f>
        <v>0</v>
      </c>
      <c r="AB469" s="46">
        <f>IF(AQ469="1",BH469,0)</f>
        <v>0</v>
      </c>
      <c r="AC469" s="46">
        <f>IF(AQ469="1",BI469,0)</f>
        <v>0</v>
      </c>
      <c r="AD469" s="46">
        <f>IF(AQ469="7",BH469,0)</f>
        <v>0</v>
      </c>
      <c r="AE469" s="46">
        <f>IF(AQ469="7",BI469,0)</f>
        <v>0</v>
      </c>
      <c r="AF469" s="46">
        <f>IF(AQ469="2",BH469,0)</f>
        <v>0</v>
      </c>
      <c r="AG469" s="46">
        <f>IF(AQ469="2",BI469,0)</f>
        <v>0</v>
      </c>
      <c r="AH469" s="46">
        <f>IF(AQ469="0",BJ469,0)</f>
        <v>0</v>
      </c>
      <c r="AI469" s="1" t="s">
        <v>323</v>
      </c>
      <c r="AJ469" s="46">
        <f>IF(AN469=0,M469,0)</f>
        <v>0</v>
      </c>
      <c r="AK469" s="46">
        <f>IF(AN469=15,M469,0)</f>
        <v>0</v>
      </c>
      <c r="AL469" s="46">
        <f>IF(AN469=21,M469,0)</f>
        <v>0</v>
      </c>
      <c r="AN469" s="46">
        <v>21</v>
      </c>
      <c r="AO469" s="46">
        <f>J469*0</f>
        <v>0</v>
      </c>
      <c r="AP469" s="46">
        <f>J469*(1-0)</f>
        <v>0</v>
      </c>
      <c r="AQ469" s="42" t="s">
        <v>1648</v>
      </c>
      <c r="AV469" s="46">
        <f>AW469+AX469</f>
        <v>0</v>
      </c>
      <c r="AW469" s="46">
        <f>I469*AO469</f>
        <v>0</v>
      </c>
      <c r="AX469" s="46">
        <f>I469*AP469</f>
        <v>0</v>
      </c>
      <c r="AY469" s="42" t="s">
        <v>132</v>
      </c>
      <c r="AZ469" s="42" t="s">
        <v>1166</v>
      </c>
      <c r="BA469" s="1" t="s">
        <v>1213</v>
      </c>
      <c r="BC469" s="46">
        <f>AW469+AX469</f>
        <v>0</v>
      </c>
      <c r="BD469" s="46">
        <f>J469/(100-BE469)*100</f>
        <v>0</v>
      </c>
      <c r="BE469" s="46">
        <v>0</v>
      </c>
      <c r="BF469" s="46">
        <f>469</f>
        <v>469</v>
      </c>
      <c r="BH469" s="46">
        <f>I469*AO469</f>
        <v>0</v>
      </c>
      <c r="BI469" s="46">
        <f>I469*AP469</f>
        <v>0</v>
      </c>
      <c r="BJ469" s="46">
        <f>I469*J469</f>
        <v>0</v>
      </c>
      <c r="BK469" s="46"/>
      <c r="BL469" s="46">
        <v>89</v>
      </c>
    </row>
    <row r="470" spans="1:15" ht="15" customHeight="1">
      <c r="A470" s="10"/>
      <c r="D470" s="32" t="s">
        <v>366</v>
      </c>
      <c r="G470" s="32" t="s">
        <v>1163</v>
      </c>
      <c r="I470" s="58">
        <v>10</v>
      </c>
      <c r="O470" s="30"/>
    </row>
    <row r="471" spans="1:64" ht="15" customHeight="1">
      <c r="A471" s="52" t="s">
        <v>17</v>
      </c>
      <c r="B471" s="43" t="s">
        <v>323</v>
      </c>
      <c r="C471" s="43" t="s">
        <v>1188</v>
      </c>
      <c r="D471" s="61" t="s">
        <v>1669</v>
      </c>
      <c r="E471" s="61"/>
      <c r="F471" s="61"/>
      <c r="G471" s="61"/>
      <c r="H471" s="43" t="s">
        <v>392</v>
      </c>
      <c r="I471" s="46">
        <v>4</v>
      </c>
      <c r="J471" s="46">
        <v>0</v>
      </c>
      <c r="K471" s="46">
        <f>I471*AO471</f>
        <v>0</v>
      </c>
      <c r="L471" s="46">
        <f>I471*AP471</f>
        <v>0</v>
      </c>
      <c r="M471" s="46">
        <f>I471*J471</f>
        <v>0</v>
      </c>
      <c r="N471" s="46">
        <v>1.6</v>
      </c>
      <c r="O471" s="6" t="s">
        <v>1149</v>
      </c>
      <c r="Z471" s="46">
        <f>IF(AQ471="5",BJ471,0)</f>
        <v>0</v>
      </c>
      <c r="AB471" s="46">
        <f>IF(AQ471="1",BH471,0)</f>
        <v>0</v>
      </c>
      <c r="AC471" s="46">
        <f>IF(AQ471="1",BI471,0)</f>
        <v>0</v>
      </c>
      <c r="AD471" s="46">
        <f>IF(AQ471="7",BH471,0)</f>
        <v>0</v>
      </c>
      <c r="AE471" s="46">
        <f>IF(AQ471="7",BI471,0)</f>
        <v>0</v>
      </c>
      <c r="AF471" s="46">
        <f>IF(AQ471="2",BH471,0)</f>
        <v>0</v>
      </c>
      <c r="AG471" s="46">
        <f>IF(AQ471="2",BI471,0)</f>
        <v>0</v>
      </c>
      <c r="AH471" s="46">
        <f>IF(AQ471="0",BJ471,0)</f>
        <v>0</v>
      </c>
      <c r="AI471" s="1" t="s">
        <v>323</v>
      </c>
      <c r="AJ471" s="46">
        <f>IF(AN471=0,M471,0)</f>
        <v>0</v>
      </c>
      <c r="AK471" s="46">
        <f>IF(AN471=15,M471,0)</f>
        <v>0</v>
      </c>
      <c r="AL471" s="46">
        <f>IF(AN471=21,M471,0)</f>
        <v>0</v>
      </c>
      <c r="AN471" s="46">
        <v>21</v>
      </c>
      <c r="AO471" s="46">
        <f>J471*1</f>
        <v>0</v>
      </c>
      <c r="AP471" s="46">
        <f>J471*(1-1)</f>
        <v>0</v>
      </c>
      <c r="AQ471" s="42" t="s">
        <v>1648</v>
      </c>
      <c r="AV471" s="46">
        <f>AW471+AX471</f>
        <v>0</v>
      </c>
      <c r="AW471" s="46">
        <f>I471*AO471</f>
        <v>0</v>
      </c>
      <c r="AX471" s="46">
        <f>I471*AP471</f>
        <v>0</v>
      </c>
      <c r="AY471" s="42" t="s">
        <v>132</v>
      </c>
      <c r="AZ471" s="42" t="s">
        <v>1166</v>
      </c>
      <c r="BA471" s="1" t="s">
        <v>1213</v>
      </c>
      <c r="BC471" s="46">
        <f>AW471+AX471</f>
        <v>0</v>
      </c>
      <c r="BD471" s="46">
        <f>J471/(100-BE471)*100</f>
        <v>0</v>
      </c>
      <c r="BE471" s="46">
        <v>0</v>
      </c>
      <c r="BF471" s="46">
        <f>471</f>
        <v>471</v>
      </c>
      <c r="BH471" s="46">
        <f>I471*AO471</f>
        <v>0</v>
      </c>
      <c r="BI471" s="46">
        <f>I471*AP471</f>
        <v>0</v>
      </c>
      <c r="BJ471" s="46">
        <f>I471*J471</f>
        <v>0</v>
      </c>
      <c r="BK471" s="46"/>
      <c r="BL471" s="46">
        <v>89</v>
      </c>
    </row>
    <row r="472" spans="1:15" ht="15" customHeight="1">
      <c r="A472" s="10"/>
      <c r="D472" s="32" t="s">
        <v>191</v>
      </c>
      <c r="G472" s="32" t="s">
        <v>1423</v>
      </c>
      <c r="I472" s="58">
        <v>4</v>
      </c>
      <c r="O472" s="30"/>
    </row>
    <row r="473" spans="1:15" ht="15" customHeight="1">
      <c r="A473" s="10"/>
      <c r="D473" s="32" t="s">
        <v>1163</v>
      </c>
      <c r="G473" s="32" t="s">
        <v>130</v>
      </c>
      <c r="I473" s="58">
        <v>0</v>
      </c>
      <c r="O473" s="30"/>
    </row>
    <row r="474" spans="1:64" ht="15" customHeight="1">
      <c r="A474" s="52" t="s">
        <v>666</v>
      </c>
      <c r="B474" s="43" t="s">
        <v>323</v>
      </c>
      <c r="C474" s="43" t="s">
        <v>155</v>
      </c>
      <c r="D474" s="61" t="s">
        <v>545</v>
      </c>
      <c r="E474" s="61"/>
      <c r="F474" s="61"/>
      <c r="G474" s="61"/>
      <c r="H474" s="43" t="s">
        <v>392</v>
      </c>
      <c r="I474" s="46">
        <v>6</v>
      </c>
      <c r="J474" s="46">
        <v>0</v>
      </c>
      <c r="K474" s="46">
        <f>I474*AO474</f>
        <v>0</v>
      </c>
      <c r="L474" s="46">
        <f>I474*AP474</f>
        <v>0</v>
      </c>
      <c r="M474" s="46">
        <f>I474*J474</f>
        <v>0</v>
      </c>
      <c r="N474" s="46">
        <v>2.1</v>
      </c>
      <c r="O474" s="6" t="s">
        <v>1149</v>
      </c>
      <c r="Z474" s="46">
        <f>IF(AQ474="5",BJ474,0)</f>
        <v>0</v>
      </c>
      <c r="AB474" s="46">
        <f>IF(AQ474="1",BH474,0)</f>
        <v>0</v>
      </c>
      <c r="AC474" s="46">
        <f>IF(AQ474="1",BI474,0)</f>
        <v>0</v>
      </c>
      <c r="AD474" s="46">
        <f>IF(AQ474="7",BH474,0)</f>
        <v>0</v>
      </c>
      <c r="AE474" s="46">
        <f>IF(AQ474="7",BI474,0)</f>
        <v>0</v>
      </c>
      <c r="AF474" s="46">
        <f>IF(AQ474="2",BH474,0)</f>
        <v>0</v>
      </c>
      <c r="AG474" s="46">
        <f>IF(AQ474="2",BI474,0)</f>
        <v>0</v>
      </c>
      <c r="AH474" s="46">
        <f>IF(AQ474="0",BJ474,0)</f>
        <v>0</v>
      </c>
      <c r="AI474" s="1" t="s">
        <v>323</v>
      </c>
      <c r="AJ474" s="46">
        <f>IF(AN474=0,M474,0)</f>
        <v>0</v>
      </c>
      <c r="AK474" s="46">
        <f>IF(AN474=15,M474,0)</f>
        <v>0</v>
      </c>
      <c r="AL474" s="46">
        <f>IF(AN474=21,M474,0)</f>
        <v>0</v>
      </c>
      <c r="AN474" s="46">
        <v>21</v>
      </c>
      <c r="AO474" s="46">
        <f>J474*1</f>
        <v>0</v>
      </c>
      <c r="AP474" s="46">
        <f>J474*(1-1)</f>
        <v>0</v>
      </c>
      <c r="AQ474" s="42" t="s">
        <v>1648</v>
      </c>
      <c r="AV474" s="46">
        <f>AW474+AX474</f>
        <v>0</v>
      </c>
      <c r="AW474" s="46">
        <f>I474*AO474</f>
        <v>0</v>
      </c>
      <c r="AX474" s="46">
        <f>I474*AP474</f>
        <v>0</v>
      </c>
      <c r="AY474" s="42" t="s">
        <v>132</v>
      </c>
      <c r="AZ474" s="42" t="s">
        <v>1166</v>
      </c>
      <c r="BA474" s="1" t="s">
        <v>1213</v>
      </c>
      <c r="BC474" s="46">
        <f>AW474+AX474</f>
        <v>0</v>
      </c>
      <c r="BD474" s="46">
        <f>J474/(100-BE474)*100</f>
        <v>0</v>
      </c>
      <c r="BE474" s="46">
        <v>0</v>
      </c>
      <c r="BF474" s="46">
        <f>474</f>
        <v>474</v>
      </c>
      <c r="BH474" s="46">
        <f>I474*AO474</f>
        <v>0</v>
      </c>
      <c r="BI474" s="46">
        <f>I474*AP474</f>
        <v>0</v>
      </c>
      <c r="BJ474" s="46">
        <f>I474*J474</f>
        <v>0</v>
      </c>
      <c r="BK474" s="46"/>
      <c r="BL474" s="46">
        <v>89</v>
      </c>
    </row>
    <row r="475" spans="1:15" ht="15" customHeight="1">
      <c r="A475" s="10"/>
      <c r="D475" s="32" t="s">
        <v>269</v>
      </c>
      <c r="G475" s="32" t="s">
        <v>63</v>
      </c>
      <c r="I475" s="58">
        <v>6.000000000000001</v>
      </c>
      <c r="O475" s="30"/>
    </row>
    <row r="476" spans="1:15" ht="15" customHeight="1">
      <c r="A476" s="10"/>
      <c r="D476" s="32" t="s">
        <v>1163</v>
      </c>
      <c r="G476" s="32" t="s">
        <v>130</v>
      </c>
      <c r="I476" s="58">
        <v>0</v>
      </c>
      <c r="O476" s="30"/>
    </row>
    <row r="477" spans="1:64" ht="15" customHeight="1">
      <c r="A477" s="52" t="s">
        <v>540</v>
      </c>
      <c r="B477" s="43" t="s">
        <v>323</v>
      </c>
      <c r="C477" s="43" t="s">
        <v>752</v>
      </c>
      <c r="D477" s="61" t="s">
        <v>265</v>
      </c>
      <c r="E477" s="61"/>
      <c r="F477" s="61"/>
      <c r="G477" s="61"/>
      <c r="H477" s="43" t="s">
        <v>392</v>
      </c>
      <c r="I477" s="46">
        <v>6</v>
      </c>
      <c r="J477" s="46">
        <v>0</v>
      </c>
      <c r="K477" s="46">
        <f>I477*AO477</f>
        <v>0</v>
      </c>
      <c r="L477" s="46">
        <f>I477*AP477</f>
        <v>0</v>
      </c>
      <c r="M477" s="46">
        <f>I477*J477</f>
        <v>0</v>
      </c>
      <c r="N477" s="46">
        <v>0</v>
      </c>
      <c r="O477" s="6" t="s">
        <v>1149</v>
      </c>
      <c r="Z477" s="46">
        <f>IF(AQ477="5",BJ477,0)</f>
        <v>0</v>
      </c>
      <c r="AB477" s="46">
        <f>IF(AQ477="1",BH477,0)</f>
        <v>0</v>
      </c>
      <c r="AC477" s="46">
        <f>IF(AQ477="1",BI477,0)</f>
        <v>0</v>
      </c>
      <c r="AD477" s="46">
        <f>IF(AQ477="7",BH477,0)</f>
        <v>0</v>
      </c>
      <c r="AE477" s="46">
        <f>IF(AQ477="7",BI477,0)</f>
        <v>0</v>
      </c>
      <c r="AF477" s="46">
        <f>IF(AQ477="2",BH477,0)</f>
        <v>0</v>
      </c>
      <c r="AG477" s="46">
        <f>IF(AQ477="2",BI477,0)</f>
        <v>0</v>
      </c>
      <c r="AH477" s="46">
        <f>IF(AQ477="0",BJ477,0)</f>
        <v>0</v>
      </c>
      <c r="AI477" s="1" t="s">
        <v>323</v>
      </c>
      <c r="AJ477" s="46">
        <f>IF(AN477=0,M477,0)</f>
        <v>0</v>
      </c>
      <c r="AK477" s="46">
        <f>IF(AN477=15,M477,0)</f>
        <v>0</v>
      </c>
      <c r="AL477" s="46">
        <f>IF(AN477=21,M477,0)</f>
        <v>0</v>
      </c>
      <c r="AN477" s="46">
        <v>21</v>
      </c>
      <c r="AO477" s="46">
        <f>J477*0</f>
        <v>0</v>
      </c>
      <c r="AP477" s="46">
        <f>J477*(1-0)</f>
        <v>0</v>
      </c>
      <c r="AQ477" s="42" t="s">
        <v>1648</v>
      </c>
      <c r="AV477" s="46">
        <f>AW477+AX477</f>
        <v>0</v>
      </c>
      <c r="AW477" s="46">
        <f>I477*AO477</f>
        <v>0</v>
      </c>
      <c r="AX477" s="46">
        <f>I477*AP477</f>
        <v>0</v>
      </c>
      <c r="AY477" s="42" t="s">
        <v>132</v>
      </c>
      <c r="AZ477" s="42" t="s">
        <v>1166</v>
      </c>
      <c r="BA477" s="1" t="s">
        <v>1213</v>
      </c>
      <c r="BC477" s="46">
        <f>AW477+AX477</f>
        <v>0</v>
      </c>
      <c r="BD477" s="46">
        <f>J477/(100-BE477)*100</f>
        <v>0</v>
      </c>
      <c r="BE477" s="46">
        <v>0</v>
      </c>
      <c r="BF477" s="46">
        <f>477</f>
        <v>477</v>
      </c>
      <c r="BH477" s="46">
        <f>I477*AO477</f>
        <v>0</v>
      </c>
      <c r="BI477" s="46">
        <f>I477*AP477</f>
        <v>0</v>
      </c>
      <c r="BJ477" s="46">
        <f>I477*J477</f>
        <v>0</v>
      </c>
      <c r="BK477" s="46"/>
      <c r="BL477" s="46">
        <v>89</v>
      </c>
    </row>
    <row r="478" spans="1:64" ht="15" customHeight="1">
      <c r="A478" s="52" t="s">
        <v>1741</v>
      </c>
      <c r="B478" s="43" t="s">
        <v>323</v>
      </c>
      <c r="C478" s="43" t="s">
        <v>216</v>
      </c>
      <c r="D478" s="61" t="s">
        <v>169</v>
      </c>
      <c r="E478" s="61"/>
      <c r="F478" s="61"/>
      <c r="G478" s="61"/>
      <c r="H478" s="43" t="s">
        <v>392</v>
      </c>
      <c r="I478" s="46">
        <v>6</v>
      </c>
      <c r="J478" s="46">
        <v>0</v>
      </c>
      <c r="K478" s="46">
        <f>I478*AO478</f>
        <v>0</v>
      </c>
      <c r="L478" s="46">
        <f>I478*AP478</f>
        <v>0</v>
      </c>
      <c r="M478" s="46">
        <f>I478*J478</f>
        <v>0</v>
      </c>
      <c r="N478" s="46">
        <v>3.3</v>
      </c>
      <c r="O478" s="6" t="s">
        <v>1149</v>
      </c>
      <c r="Z478" s="46">
        <f>IF(AQ478="5",BJ478,0)</f>
        <v>0</v>
      </c>
      <c r="AB478" s="46">
        <f>IF(AQ478="1",BH478,0)</f>
        <v>0</v>
      </c>
      <c r="AC478" s="46">
        <f>IF(AQ478="1",BI478,0)</f>
        <v>0</v>
      </c>
      <c r="AD478" s="46">
        <f>IF(AQ478="7",BH478,0)</f>
        <v>0</v>
      </c>
      <c r="AE478" s="46">
        <f>IF(AQ478="7",BI478,0)</f>
        <v>0</v>
      </c>
      <c r="AF478" s="46">
        <f>IF(AQ478="2",BH478,0)</f>
        <v>0</v>
      </c>
      <c r="AG478" s="46">
        <f>IF(AQ478="2",BI478,0)</f>
        <v>0</v>
      </c>
      <c r="AH478" s="46">
        <f>IF(AQ478="0",BJ478,0)</f>
        <v>0</v>
      </c>
      <c r="AI478" s="1" t="s">
        <v>323</v>
      </c>
      <c r="AJ478" s="46">
        <f>IF(AN478=0,M478,0)</f>
        <v>0</v>
      </c>
      <c r="AK478" s="46">
        <f>IF(AN478=15,M478,0)</f>
        <v>0</v>
      </c>
      <c r="AL478" s="46">
        <f>IF(AN478=21,M478,0)</f>
        <v>0</v>
      </c>
      <c r="AN478" s="46">
        <v>21</v>
      </c>
      <c r="AO478" s="46">
        <f>J478*1</f>
        <v>0</v>
      </c>
      <c r="AP478" s="46">
        <f>J478*(1-1)</f>
        <v>0</v>
      </c>
      <c r="AQ478" s="42" t="s">
        <v>1648</v>
      </c>
      <c r="AV478" s="46">
        <f>AW478+AX478</f>
        <v>0</v>
      </c>
      <c r="AW478" s="46">
        <f>I478*AO478</f>
        <v>0</v>
      </c>
      <c r="AX478" s="46">
        <f>I478*AP478</f>
        <v>0</v>
      </c>
      <c r="AY478" s="42" t="s">
        <v>132</v>
      </c>
      <c r="AZ478" s="42" t="s">
        <v>1166</v>
      </c>
      <c r="BA478" s="1" t="s">
        <v>1213</v>
      </c>
      <c r="BC478" s="46">
        <f>AW478+AX478</f>
        <v>0</v>
      </c>
      <c r="BD478" s="46">
        <f>J478/(100-BE478)*100</f>
        <v>0</v>
      </c>
      <c r="BE478" s="46">
        <v>0</v>
      </c>
      <c r="BF478" s="46">
        <f>478</f>
        <v>478</v>
      </c>
      <c r="BH478" s="46">
        <f>I478*AO478</f>
        <v>0</v>
      </c>
      <c r="BI478" s="46">
        <f>I478*AP478</f>
        <v>0</v>
      </c>
      <c r="BJ478" s="46">
        <f>I478*J478</f>
        <v>0</v>
      </c>
      <c r="BK478" s="46"/>
      <c r="BL478" s="46">
        <v>89</v>
      </c>
    </row>
    <row r="479" spans="1:15" ht="15" customHeight="1">
      <c r="A479" s="10"/>
      <c r="D479" s="32" t="s">
        <v>269</v>
      </c>
      <c r="G479" s="32" t="s">
        <v>1763</v>
      </c>
      <c r="I479" s="58">
        <v>6.000000000000001</v>
      </c>
      <c r="O479" s="30"/>
    </row>
    <row r="480" spans="1:15" ht="15" customHeight="1">
      <c r="A480" s="10"/>
      <c r="D480" s="32" t="s">
        <v>1163</v>
      </c>
      <c r="G480" s="32" t="s">
        <v>130</v>
      </c>
      <c r="I480" s="58">
        <v>0</v>
      </c>
      <c r="O480" s="30"/>
    </row>
    <row r="481" spans="1:64" ht="15" customHeight="1">
      <c r="A481" s="52" t="s">
        <v>941</v>
      </c>
      <c r="B481" s="43" t="s">
        <v>323</v>
      </c>
      <c r="C481" s="43" t="s">
        <v>1596</v>
      </c>
      <c r="D481" s="61" t="s">
        <v>675</v>
      </c>
      <c r="E481" s="61"/>
      <c r="F481" s="61"/>
      <c r="G481" s="61"/>
      <c r="H481" s="43" t="s">
        <v>392</v>
      </c>
      <c r="I481" s="46">
        <v>70</v>
      </c>
      <c r="J481" s="46">
        <v>0</v>
      </c>
      <c r="K481" s="46">
        <f>I481*AO481</f>
        <v>0</v>
      </c>
      <c r="L481" s="46">
        <f>I481*AP481</f>
        <v>0</v>
      </c>
      <c r="M481" s="46">
        <f>I481*J481</f>
        <v>0</v>
      </c>
      <c r="N481" s="46">
        <v>0</v>
      </c>
      <c r="O481" s="6" t="s">
        <v>1149</v>
      </c>
      <c r="Z481" s="46">
        <f>IF(AQ481="5",BJ481,0)</f>
        <v>0</v>
      </c>
      <c r="AB481" s="46">
        <f>IF(AQ481="1",BH481,0)</f>
        <v>0</v>
      </c>
      <c r="AC481" s="46">
        <f>IF(AQ481="1",BI481,0)</f>
        <v>0</v>
      </c>
      <c r="AD481" s="46">
        <f>IF(AQ481="7",BH481,0)</f>
        <v>0</v>
      </c>
      <c r="AE481" s="46">
        <f>IF(AQ481="7",BI481,0)</f>
        <v>0</v>
      </c>
      <c r="AF481" s="46">
        <f>IF(AQ481="2",BH481,0)</f>
        <v>0</v>
      </c>
      <c r="AG481" s="46">
        <f>IF(AQ481="2",BI481,0)</f>
        <v>0</v>
      </c>
      <c r="AH481" s="46">
        <f>IF(AQ481="0",BJ481,0)</f>
        <v>0</v>
      </c>
      <c r="AI481" s="1" t="s">
        <v>323</v>
      </c>
      <c r="AJ481" s="46">
        <f>IF(AN481=0,M481,0)</f>
        <v>0</v>
      </c>
      <c r="AK481" s="46">
        <f>IF(AN481=15,M481,0)</f>
        <v>0</v>
      </c>
      <c r="AL481" s="46">
        <f>IF(AN481=21,M481,0)</f>
        <v>0</v>
      </c>
      <c r="AN481" s="46">
        <v>21</v>
      </c>
      <c r="AO481" s="46">
        <f>J481*0</f>
        <v>0</v>
      </c>
      <c r="AP481" s="46">
        <f>J481*(1-0)</f>
        <v>0</v>
      </c>
      <c r="AQ481" s="42" t="s">
        <v>1648</v>
      </c>
      <c r="AV481" s="46">
        <f>AW481+AX481</f>
        <v>0</v>
      </c>
      <c r="AW481" s="46">
        <f>I481*AO481</f>
        <v>0</v>
      </c>
      <c r="AX481" s="46">
        <f>I481*AP481</f>
        <v>0</v>
      </c>
      <c r="AY481" s="42" t="s">
        <v>132</v>
      </c>
      <c r="AZ481" s="42" t="s">
        <v>1166</v>
      </c>
      <c r="BA481" s="1" t="s">
        <v>1213</v>
      </c>
      <c r="BC481" s="46">
        <f>AW481+AX481</f>
        <v>0</v>
      </c>
      <c r="BD481" s="46">
        <f>J481/(100-BE481)*100</f>
        <v>0</v>
      </c>
      <c r="BE481" s="46">
        <v>0</v>
      </c>
      <c r="BF481" s="46">
        <f>481</f>
        <v>481</v>
      </c>
      <c r="BH481" s="46">
        <f>I481*AO481</f>
        <v>0</v>
      </c>
      <c r="BI481" s="46">
        <f>I481*AP481</f>
        <v>0</v>
      </c>
      <c r="BJ481" s="46">
        <f>I481*J481</f>
        <v>0</v>
      </c>
      <c r="BK481" s="46"/>
      <c r="BL481" s="46">
        <v>89</v>
      </c>
    </row>
    <row r="482" spans="1:15" ht="15" customHeight="1">
      <c r="A482" s="10"/>
      <c r="D482" s="32" t="s">
        <v>1563</v>
      </c>
      <c r="G482" s="32" t="s">
        <v>1163</v>
      </c>
      <c r="I482" s="58">
        <v>70</v>
      </c>
      <c r="O482" s="30"/>
    </row>
    <row r="483" spans="1:64" ht="15" customHeight="1">
      <c r="A483" s="52" t="s">
        <v>888</v>
      </c>
      <c r="B483" s="43" t="s">
        <v>323</v>
      </c>
      <c r="C483" s="43" t="s">
        <v>886</v>
      </c>
      <c r="D483" s="61" t="s">
        <v>1086</v>
      </c>
      <c r="E483" s="61"/>
      <c r="F483" s="61"/>
      <c r="G483" s="61"/>
      <c r="H483" s="43" t="s">
        <v>392</v>
      </c>
      <c r="I483" s="46">
        <v>8</v>
      </c>
      <c r="J483" s="46">
        <v>0</v>
      </c>
      <c r="K483" s="46">
        <f aca="true" t="shared" si="48" ref="K483:K490">I483*AO483</f>
        <v>0</v>
      </c>
      <c r="L483" s="46">
        <f aca="true" t="shared" si="49" ref="L483:L490">I483*AP483</f>
        <v>0</v>
      </c>
      <c r="M483" s="46">
        <f aca="true" t="shared" si="50" ref="M483:M490">I483*J483</f>
        <v>0</v>
      </c>
      <c r="N483" s="46">
        <v>0</v>
      </c>
      <c r="O483" s="6" t="s">
        <v>1149</v>
      </c>
      <c r="Z483" s="46">
        <f aca="true" t="shared" si="51" ref="Z483:Z490">IF(AQ483="5",BJ483,0)</f>
        <v>0</v>
      </c>
      <c r="AB483" s="46">
        <f aca="true" t="shared" si="52" ref="AB483:AB490">IF(AQ483="1",BH483,0)</f>
        <v>0</v>
      </c>
      <c r="AC483" s="46">
        <f aca="true" t="shared" si="53" ref="AC483:AC490">IF(AQ483="1",BI483,0)</f>
        <v>0</v>
      </c>
      <c r="AD483" s="46">
        <f aca="true" t="shared" si="54" ref="AD483:AD490">IF(AQ483="7",BH483,0)</f>
        <v>0</v>
      </c>
      <c r="AE483" s="46">
        <f aca="true" t="shared" si="55" ref="AE483:AE490">IF(AQ483="7",BI483,0)</f>
        <v>0</v>
      </c>
      <c r="AF483" s="46">
        <f aca="true" t="shared" si="56" ref="AF483:AF490">IF(AQ483="2",BH483,0)</f>
        <v>0</v>
      </c>
      <c r="AG483" s="46">
        <f aca="true" t="shared" si="57" ref="AG483:AG490">IF(AQ483="2",BI483,0)</f>
        <v>0</v>
      </c>
      <c r="AH483" s="46">
        <f aca="true" t="shared" si="58" ref="AH483:AH490">IF(AQ483="0",BJ483,0)</f>
        <v>0</v>
      </c>
      <c r="AI483" s="1" t="s">
        <v>323</v>
      </c>
      <c r="AJ483" s="46">
        <f aca="true" t="shared" si="59" ref="AJ483:AJ490">IF(AN483=0,M483,0)</f>
        <v>0</v>
      </c>
      <c r="AK483" s="46">
        <f aca="true" t="shared" si="60" ref="AK483:AK490">IF(AN483=15,M483,0)</f>
        <v>0</v>
      </c>
      <c r="AL483" s="46">
        <f aca="true" t="shared" si="61" ref="AL483:AL490">IF(AN483=21,M483,0)</f>
        <v>0</v>
      </c>
      <c r="AN483" s="46">
        <v>21</v>
      </c>
      <c r="AO483" s="46">
        <f aca="true" t="shared" si="62" ref="AO483:AO489">J483*1</f>
        <v>0</v>
      </c>
      <c r="AP483" s="46">
        <f aca="true" t="shared" si="63" ref="AP483:AP489">J483*(1-1)</f>
        <v>0</v>
      </c>
      <c r="AQ483" s="42" t="s">
        <v>1648</v>
      </c>
      <c r="AV483" s="46">
        <f aca="true" t="shared" si="64" ref="AV483:AV490">AW483+AX483</f>
        <v>0</v>
      </c>
      <c r="AW483" s="46">
        <f aca="true" t="shared" si="65" ref="AW483:AW490">I483*AO483</f>
        <v>0</v>
      </c>
      <c r="AX483" s="46">
        <f aca="true" t="shared" si="66" ref="AX483:AX490">I483*AP483</f>
        <v>0</v>
      </c>
      <c r="AY483" s="42" t="s">
        <v>132</v>
      </c>
      <c r="AZ483" s="42" t="s">
        <v>1166</v>
      </c>
      <c r="BA483" s="1" t="s">
        <v>1213</v>
      </c>
      <c r="BC483" s="46">
        <f aca="true" t="shared" si="67" ref="BC483:BC490">AW483+AX483</f>
        <v>0</v>
      </c>
      <c r="BD483" s="46">
        <f aca="true" t="shared" si="68" ref="BD483:BD490">J483/(100-BE483)*100</f>
        <v>0</v>
      </c>
      <c r="BE483" s="46">
        <v>0</v>
      </c>
      <c r="BF483" s="46">
        <f>483</f>
        <v>483</v>
      </c>
      <c r="BH483" s="46">
        <f aca="true" t="shared" si="69" ref="BH483:BH490">I483*AO483</f>
        <v>0</v>
      </c>
      <c r="BI483" s="46">
        <f aca="true" t="shared" si="70" ref="BI483:BI490">I483*AP483</f>
        <v>0</v>
      </c>
      <c r="BJ483" s="46">
        <f aca="true" t="shared" si="71" ref="BJ483:BJ490">I483*J483</f>
        <v>0</v>
      </c>
      <c r="BK483" s="46"/>
      <c r="BL483" s="46">
        <v>89</v>
      </c>
    </row>
    <row r="484" spans="1:64" ht="15" customHeight="1">
      <c r="A484" s="52" t="s">
        <v>1401</v>
      </c>
      <c r="B484" s="43" t="s">
        <v>323</v>
      </c>
      <c r="C484" s="43" t="s">
        <v>1506</v>
      </c>
      <c r="D484" s="61" t="s">
        <v>121</v>
      </c>
      <c r="E484" s="61"/>
      <c r="F484" s="61"/>
      <c r="G484" s="61"/>
      <c r="H484" s="43" t="s">
        <v>392</v>
      </c>
      <c r="I484" s="46">
        <v>38</v>
      </c>
      <c r="J484" s="46">
        <v>0</v>
      </c>
      <c r="K484" s="46">
        <f t="shared" si="48"/>
        <v>0</v>
      </c>
      <c r="L484" s="46">
        <f t="shared" si="49"/>
        <v>0</v>
      </c>
      <c r="M484" s="46">
        <f t="shared" si="50"/>
        <v>0</v>
      </c>
      <c r="N484" s="46">
        <v>0.5</v>
      </c>
      <c r="O484" s="6" t="s">
        <v>1149</v>
      </c>
      <c r="Z484" s="46">
        <f t="shared" si="51"/>
        <v>0</v>
      </c>
      <c r="AB484" s="46">
        <f t="shared" si="52"/>
        <v>0</v>
      </c>
      <c r="AC484" s="46">
        <f t="shared" si="53"/>
        <v>0</v>
      </c>
      <c r="AD484" s="46">
        <f t="shared" si="54"/>
        <v>0</v>
      </c>
      <c r="AE484" s="46">
        <f t="shared" si="55"/>
        <v>0</v>
      </c>
      <c r="AF484" s="46">
        <f t="shared" si="56"/>
        <v>0</v>
      </c>
      <c r="AG484" s="46">
        <f t="shared" si="57"/>
        <v>0</v>
      </c>
      <c r="AH484" s="46">
        <f t="shared" si="58"/>
        <v>0</v>
      </c>
      <c r="AI484" s="1" t="s">
        <v>323</v>
      </c>
      <c r="AJ484" s="46">
        <f t="shared" si="59"/>
        <v>0</v>
      </c>
      <c r="AK484" s="46">
        <f t="shared" si="60"/>
        <v>0</v>
      </c>
      <c r="AL484" s="46">
        <f t="shared" si="61"/>
        <v>0</v>
      </c>
      <c r="AN484" s="46">
        <v>21</v>
      </c>
      <c r="AO484" s="46">
        <f t="shared" si="62"/>
        <v>0</v>
      </c>
      <c r="AP484" s="46">
        <f t="shared" si="63"/>
        <v>0</v>
      </c>
      <c r="AQ484" s="42" t="s">
        <v>1648</v>
      </c>
      <c r="AV484" s="46">
        <f t="shared" si="64"/>
        <v>0</v>
      </c>
      <c r="AW484" s="46">
        <f t="shared" si="65"/>
        <v>0</v>
      </c>
      <c r="AX484" s="46">
        <f t="shared" si="66"/>
        <v>0</v>
      </c>
      <c r="AY484" s="42" t="s">
        <v>132</v>
      </c>
      <c r="AZ484" s="42" t="s">
        <v>1166</v>
      </c>
      <c r="BA484" s="1" t="s">
        <v>1213</v>
      </c>
      <c r="BC484" s="46">
        <f t="shared" si="67"/>
        <v>0</v>
      </c>
      <c r="BD484" s="46">
        <f t="shared" si="68"/>
        <v>0</v>
      </c>
      <c r="BE484" s="46">
        <v>0</v>
      </c>
      <c r="BF484" s="46">
        <f>484</f>
        <v>484</v>
      </c>
      <c r="BH484" s="46">
        <f t="shared" si="69"/>
        <v>0</v>
      </c>
      <c r="BI484" s="46">
        <f t="shared" si="70"/>
        <v>0</v>
      </c>
      <c r="BJ484" s="46">
        <f t="shared" si="71"/>
        <v>0</v>
      </c>
      <c r="BK484" s="46"/>
      <c r="BL484" s="46">
        <v>89</v>
      </c>
    </row>
    <row r="485" spans="1:64" ht="15" customHeight="1">
      <c r="A485" s="52" t="s">
        <v>1536</v>
      </c>
      <c r="B485" s="43" t="s">
        <v>323</v>
      </c>
      <c r="C485" s="43" t="s">
        <v>899</v>
      </c>
      <c r="D485" s="61" t="s">
        <v>1431</v>
      </c>
      <c r="E485" s="61"/>
      <c r="F485" s="61"/>
      <c r="G485" s="61"/>
      <c r="H485" s="43" t="s">
        <v>392</v>
      </c>
      <c r="I485" s="46">
        <v>2</v>
      </c>
      <c r="J485" s="46">
        <v>0</v>
      </c>
      <c r="K485" s="46">
        <f t="shared" si="48"/>
        <v>0</v>
      </c>
      <c r="L485" s="46">
        <f t="shared" si="49"/>
        <v>0</v>
      </c>
      <c r="M485" s="46">
        <f t="shared" si="50"/>
        <v>0</v>
      </c>
      <c r="N485" s="46">
        <v>0.028</v>
      </c>
      <c r="O485" s="6" t="s">
        <v>1149</v>
      </c>
      <c r="Z485" s="46">
        <f t="shared" si="51"/>
        <v>0</v>
      </c>
      <c r="AB485" s="46">
        <f t="shared" si="52"/>
        <v>0</v>
      </c>
      <c r="AC485" s="46">
        <f t="shared" si="53"/>
        <v>0</v>
      </c>
      <c r="AD485" s="46">
        <f t="shared" si="54"/>
        <v>0</v>
      </c>
      <c r="AE485" s="46">
        <f t="shared" si="55"/>
        <v>0</v>
      </c>
      <c r="AF485" s="46">
        <f t="shared" si="56"/>
        <v>0</v>
      </c>
      <c r="AG485" s="46">
        <f t="shared" si="57"/>
        <v>0</v>
      </c>
      <c r="AH485" s="46">
        <f t="shared" si="58"/>
        <v>0</v>
      </c>
      <c r="AI485" s="1" t="s">
        <v>323</v>
      </c>
      <c r="AJ485" s="46">
        <f t="shared" si="59"/>
        <v>0</v>
      </c>
      <c r="AK485" s="46">
        <f t="shared" si="60"/>
        <v>0</v>
      </c>
      <c r="AL485" s="46">
        <f t="shared" si="61"/>
        <v>0</v>
      </c>
      <c r="AN485" s="46">
        <v>21</v>
      </c>
      <c r="AO485" s="46">
        <f t="shared" si="62"/>
        <v>0</v>
      </c>
      <c r="AP485" s="46">
        <f t="shared" si="63"/>
        <v>0</v>
      </c>
      <c r="AQ485" s="42" t="s">
        <v>1648</v>
      </c>
      <c r="AV485" s="46">
        <f t="shared" si="64"/>
        <v>0</v>
      </c>
      <c r="AW485" s="46">
        <f t="shared" si="65"/>
        <v>0</v>
      </c>
      <c r="AX485" s="46">
        <f t="shared" si="66"/>
        <v>0</v>
      </c>
      <c r="AY485" s="42" t="s">
        <v>132</v>
      </c>
      <c r="AZ485" s="42" t="s">
        <v>1166</v>
      </c>
      <c r="BA485" s="1" t="s">
        <v>1213</v>
      </c>
      <c r="BC485" s="46">
        <f t="shared" si="67"/>
        <v>0</v>
      </c>
      <c r="BD485" s="46">
        <f t="shared" si="68"/>
        <v>0</v>
      </c>
      <c r="BE485" s="46">
        <v>0</v>
      </c>
      <c r="BF485" s="46">
        <f>485</f>
        <v>485</v>
      </c>
      <c r="BH485" s="46">
        <f t="shared" si="69"/>
        <v>0</v>
      </c>
      <c r="BI485" s="46">
        <f t="shared" si="70"/>
        <v>0</v>
      </c>
      <c r="BJ485" s="46">
        <f t="shared" si="71"/>
        <v>0</v>
      </c>
      <c r="BK485" s="46"/>
      <c r="BL485" s="46">
        <v>89</v>
      </c>
    </row>
    <row r="486" spans="1:64" ht="15" customHeight="1">
      <c r="A486" s="52" t="s">
        <v>1651</v>
      </c>
      <c r="B486" s="43" t="s">
        <v>323</v>
      </c>
      <c r="C486" s="43" t="s">
        <v>1219</v>
      </c>
      <c r="D486" s="61" t="s">
        <v>1556</v>
      </c>
      <c r="E486" s="61"/>
      <c r="F486" s="61"/>
      <c r="G486" s="61"/>
      <c r="H486" s="43" t="s">
        <v>392</v>
      </c>
      <c r="I486" s="46">
        <v>2</v>
      </c>
      <c r="J486" s="46">
        <v>0</v>
      </c>
      <c r="K486" s="46">
        <f t="shared" si="48"/>
        <v>0</v>
      </c>
      <c r="L486" s="46">
        <f t="shared" si="49"/>
        <v>0</v>
      </c>
      <c r="M486" s="46">
        <f t="shared" si="50"/>
        <v>0</v>
      </c>
      <c r="N486" s="46">
        <v>0.04</v>
      </c>
      <c r="O486" s="6" t="s">
        <v>1149</v>
      </c>
      <c r="Z486" s="46">
        <f t="shared" si="51"/>
        <v>0</v>
      </c>
      <c r="AB486" s="46">
        <f t="shared" si="52"/>
        <v>0</v>
      </c>
      <c r="AC486" s="46">
        <f t="shared" si="53"/>
        <v>0</v>
      </c>
      <c r="AD486" s="46">
        <f t="shared" si="54"/>
        <v>0</v>
      </c>
      <c r="AE486" s="46">
        <f t="shared" si="55"/>
        <v>0</v>
      </c>
      <c r="AF486" s="46">
        <f t="shared" si="56"/>
        <v>0</v>
      </c>
      <c r="AG486" s="46">
        <f t="shared" si="57"/>
        <v>0</v>
      </c>
      <c r="AH486" s="46">
        <f t="shared" si="58"/>
        <v>0</v>
      </c>
      <c r="AI486" s="1" t="s">
        <v>323</v>
      </c>
      <c r="AJ486" s="46">
        <f t="shared" si="59"/>
        <v>0</v>
      </c>
      <c r="AK486" s="46">
        <f t="shared" si="60"/>
        <v>0</v>
      </c>
      <c r="AL486" s="46">
        <f t="shared" si="61"/>
        <v>0</v>
      </c>
      <c r="AN486" s="46">
        <v>21</v>
      </c>
      <c r="AO486" s="46">
        <f t="shared" si="62"/>
        <v>0</v>
      </c>
      <c r="AP486" s="46">
        <f t="shared" si="63"/>
        <v>0</v>
      </c>
      <c r="AQ486" s="42" t="s">
        <v>1648</v>
      </c>
      <c r="AV486" s="46">
        <f t="shared" si="64"/>
        <v>0</v>
      </c>
      <c r="AW486" s="46">
        <f t="shared" si="65"/>
        <v>0</v>
      </c>
      <c r="AX486" s="46">
        <f t="shared" si="66"/>
        <v>0</v>
      </c>
      <c r="AY486" s="42" t="s">
        <v>132</v>
      </c>
      <c r="AZ486" s="42" t="s">
        <v>1166</v>
      </c>
      <c r="BA486" s="1" t="s">
        <v>1213</v>
      </c>
      <c r="BC486" s="46">
        <f t="shared" si="67"/>
        <v>0</v>
      </c>
      <c r="BD486" s="46">
        <f t="shared" si="68"/>
        <v>0</v>
      </c>
      <c r="BE486" s="46">
        <v>0</v>
      </c>
      <c r="BF486" s="46">
        <f>486</f>
        <v>486</v>
      </c>
      <c r="BH486" s="46">
        <f t="shared" si="69"/>
        <v>0</v>
      </c>
      <c r="BI486" s="46">
        <f t="shared" si="70"/>
        <v>0</v>
      </c>
      <c r="BJ486" s="46">
        <f t="shared" si="71"/>
        <v>0</v>
      </c>
      <c r="BK486" s="46"/>
      <c r="BL486" s="46">
        <v>89</v>
      </c>
    </row>
    <row r="487" spans="1:64" ht="15" customHeight="1">
      <c r="A487" s="52" t="s">
        <v>1139</v>
      </c>
      <c r="B487" s="43" t="s">
        <v>323</v>
      </c>
      <c r="C487" s="43" t="s">
        <v>1577</v>
      </c>
      <c r="D487" s="61" t="s">
        <v>847</v>
      </c>
      <c r="E487" s="61"/>
      <c r="F487" s="61"/>
      <c r="G487" s="61"/>
      <c r="H487" s="43" t="s">
        <v>392</v>
      </c>
      <c r="I487" s="46">
        <v>2</v>
      </c>
      <c r="J487" s="46">
        <v>0</v>
      </c>
      <c r="K487" s="46">
        <f t="shared" si="48"/>
        <v>0</v>
      </c>
      <c r="L487" s="46">
        <f t="shared" si="49"/>
        <v>0</v>
      </c>
      <c r="M487" s="46">
        <f t="shared" si="50"/>
        <v>0</v>
      </c>
      <c r="N487" s="46">
        <v>0</v>
      </c>
      <c r="O487" s="6" t="s">
        <v>1149</v>
      </c>
      <c r="Z487" s="46">
        <f t="shared" si="51"/>
        <v>0</v>
      </c>
      <c r="AB487" s="46">
        <f t="shared" si="52"/>
        <v>0</v>
      </c>
      <c r="AC487" s="46">
        <f t="shared" si="53"/>
        <v>0</v>
      </c>
      <c r="AD487" s="46">
        <f t="shared" si="54"/>
        <v>0</v>
      </c>
      <c r="AE487" s="46">
        <f t="shared" si="55"/>
        <v>0</v>
      </c>
      <c r="AF487" s="46">
        <f t="shared" si="56"/>
        <v>0</v>
      </c>
      <c r="AG487" s="46">
        <f t="shared" si="57"/>
        <v>0</v>
      </c>
      <c r="AH487" s="46">
        <f t="shared" si="58"/>
        <v>0</v>
      </c>
      <c r="AI487" s="1" t="s">
        <v>323</v>
      </c>
      <c r="AJ487" s="46">
        <f t="shared" si="59"/>
        <v>0</v>
      </c>
      <c r="AK487" s="46">
        <f t="shared" si="60"/>
        <v>0</v>
      </c>
      <c r="AL487" s="46">
        <f t="shared" si="61"/>
        <v>0</v>
      </c>
      <c r="AN487" s="46">
        <v>21</v>
      </c>
      <c r="AO487" s="46">
        <f t="shared" si="62"/>
        <v>0</v>
      </c>
      <c r="AP487" s="46">
        <f t="shared" si="63"/>
        <v>0</v>
      </c>
      <c r="AQ487" s="42" t="s">
        <v>1648</v>
      </c>
      <c r="AV487" s="46">
        <f t="shared" si="64"/>
        <v>0</v>
      </c>
      <c r="AW487" s="46">
        <f t="shared" si="65"/>
        <v>0</v>
      </c>
      <c r="AX487" s="46">
        <f t="shared" si="66"/>
        <v>0</v>
      </c>
      <c r="AY487" s="42" t="s">
        <v>132</v>
      </c>
      <c r="AZ487" s="42" t="s">
        <v>1166</v>
      </c>
      <c r="BA487" s="1" t="s">
        <v>1213</v>
      </c>
      <c r="BC487" s="46">
        <f t="shared" si="67"/>
        <v>0</v>
      </c>
      <c r="BD487" s="46">
        <f t="shared" si="68"/>
        <v>0</v>
      </c>
      <c r="BE487" s="46">
        <v>0</v>
      </c>
      <c r="BF487" s="46">
        <f>487</f>
        <v>487</v>
      </c>
      <c r="BH487" s="46">
        <f t="shared" si="69"/>
        <v>0</v>
      </c>
      <c r="BI487" s="46">
        <f t="shared" si="70"/>
        <v>0</v>
      </c>
      <c r="BJ487" s="46">
        <f t="shared" si="71"/>
        <v>0</v>
      </c>
      <c r="BK487" s="46"/>
      <c r="BL487" s="46">
        <v>89</v>
      </c>
    </row>
    <row r="488" spans="1:64" ht="15" customHeight="1">
      <c r="A488" s="52" t="s">
        <v>1487</v>
      </c>
      <c r="B488" s="43" t="s">
        <v>323</v>
      </c>
      <c r="C488" s="43" t="s">
        <v>1646</v>
      </c>
      <c r="D488" s="61" t="s">
        <v>334</v>
      </c>
      <c r="E488" s="61"/>
      <c r="F488" s="61"/>
      <c r="G488" s="61"/>
      <c r="H488" s="43" t="s">
        <v>392</v>
      </c>
      <c r="I488" s="46">
        <v>10</v>
      </c>
      <c r="J488" s="46">
        <v>0</v>
      </c>
      <c r="K488" s="46">
        <f t="shared" si="48"/>
        <v>0</v>
      </c>
      <c r="L488" s="46">
        <f t="shared" si="49"/>
        <v>0</v>
      </c>
      <c r="M488" s="46">
        <f t="shared" si="50"/>
        <v>0</v>
      </c>
      <c r="N488" s="46">
        <v>0.068</v>
      </c>
      <c r="O488" s="6" t="s">
        <v>1149</v>
      </c>
      <c r="Z488" s="46">
        <f t="shared" si="51"/>
        <v>0</v>
      </c>
      <c r="AB488" s="46">
        <f t="shared" si="52"/>
        <v>0</v>
      </c>
      <c r="AC488" s="46">
        <f t="shared" si="53"/>
        <v>0</v>
      </c>
      <c r="AD488" s="46">
        <f t="shared" si="54"/>
        <v>0</v>
      </c>
      <c r="AE488" s="46">
        <f t="shared" si="55"/>
        <v>0</v>
      </c>
      <c r="AF488" s="46">
        <f t="shared" si="56"/>
        <v>0</v>
      </c>
      <c r="AG488" s="46">
        <f t="shared" si="57"/>
        <v>0</v>
      </c>
      <c r="AH488" s="46">
        <f t="shared" si="58"/>
        <v>0</v>
      </c>
      <c r="AI488" s="1" t="s">
        <v>323</v>
      </c>
      <c r="AJ488" s="46">
        <f t="shared" si="59"/>
        <v>0</v>
      </c>
      <c r="AK488" s="46">
        <f t="shared" si="60"/>
        <v>0</v>
      </c>
      <c r="AL488" s="46">
        <f t="shared" si="61"/>
        <v>0</v>
      </c>
      <c r="AN488" s="46">
        <v>21</v>
      </c>
      <c r="AO488" s="46">
        <f t="shared" si="62"/>
        <v>0</v>
      </c>
      <c r="AP488" s="46">
        <f t="shared" si="63"/>
        <v>0</v>
      </c>
      <c r="AQ488" s="42" t="s">
        <v>1648</v>
      </c>
      <c r="AV488" s="46">
        <f t="shared" si="64"/>
        <v>0</v>
      </c>
      <c r="AW488" s="46">
        <f t="shared" si="65"/>
        <v>0</v>
      </c>
      <c r="AX488" s="46">
        <f t="shared" si="66"/>
        <v>0</v>
      </c>
      <c r="AY488" s="42" t="s">
        <v>132</v>
      </c>
      <c r="AZ488" s="42" t="s">
        <v>1166</v>
      </c>
      <c r="BA488" s="1" t="s">
        <v>1213</v>
      </c>
      <c r="BC488" s="46">
        <f t="shared" si="67"/>
        <v>0</v>
      </c>
      <c r="BD488" s="46">
        <f t="shared" si="68"/>
        <v>0</v>
      </c>
      <c r="BE488" s="46">
        <v>0</v>
      </c>
      <c r="BF488" s="46">
        <f>488</f>
        <v>488</v>
      </c>
      <c r="BH488" s="46">
        <f t="shared" si="69"/>
        <v>0</v>
      </c>
      <c r="BI488" s="46">
        <f t="shared" si="70"/>
        <v>0</v>
      </c>
      <c r="BJ488" s="46">
        <f t="shared" si="71"/>
        <v>0</v>
      </c>
      <c r="BK488" s="46"/>
      <c r="BL488" s="46">
        <v>89</v>
      </c>
    </row>
    <row r="489" spans="1:64" ht="15" customHeight="1">
      <c r="A489" s="52" t="s">
        <v>30</v>
      </c>
      <c r="B489" s="43" t="s">
        <v>323</v>
      </c>
      <c r="C489" s="43" t="s">
        <v>54</v>
      </c>
      <c r="D489" s="61" t="s">
        <v>407</v>
      </c>
      <c r="E489" s="61"/>
      <c r="F489" s="61"/>
      <c r="G489" s="61"/>
      <c r="H489" s="43" t="s">
        <v>392</v>
      </c>
      <c r="I489" s="46">
        <v>6</v>
      </c>
      <c r="J489" s="46">
        <v>0</v>
      </c>
      <c r="K489" s="46">
        <f t="shared" si="48"/>
        <v>0</v>
      </c>
      <c r="L489" s="46">
        <f t="shared" si="49"/>
        <v>0</v>
      </c>
      <c r="M489" s="46">
        <f t="shared" si="50"/>
        <v>0</v>
      </c>
      <c r="N489" s="46">
        <v>0.081</v>
      </c>
      <c r="O489" s="6" t="s">
        <v>1149</v>
      </c>
      <c r="Z489" s="46">
        <f t="shared" si="51"/>
        <v>0</v>
      </c>
      <c r="AB489" s="46">
        <f t="shared" si="52"/>
        <v>0</v>
      </c>
      <c r="AC489" s="46">
        <f t="shared" si="53"/>
        <v>0</v>
      </c>
      <c r="AD489" s="46">
        <f t="shared" si="54"/>
        <v>0</v>
      </c>
      <c r="AE489" s="46">
        <f t="shared" si="55"/>
        <v>0</v>
      </c>
      <c r="AF489" s="46">
        <f t="shared" si="56"/>
        <v>0</v>
      </c>
      <c r="AG489" s="46">
        <f t="shared" si="57"/>
        <v>0</v>
      </c>
      <c r="AH489" s="46">
        <f t="shared" si="58"/>
        <v>0</v>
      </c>
      <c r="AI489" s="1" t="s">
        <v>323</v>
      </c>
      <c r="AJ489" s="46">
        <f t="shared" si="59"/>
        <v>0</v>
      </c>
      <c r="AK489" s="46">
        <f t="shared" si="60"/>
        <v>0</v>
      </c>
      <c r="AL489" s="46">
        <f t="shared" si="61"/>
        <v>0</v>
      </c>
      <c r="AN489" s="46">
        <v>21</v>
      </c>
      <c r="AO489" s="46">
        <f t="shared" si="62"/>
        <v>0</v>
      </c>
      <c r="AP489" s="46">
        <f t="shared" si="63"/>
        <v>0</v>
      </c>
      <c r="AQ489" s="42" t="s">
        <v>1648</v>
      </c>
      <c r="AV489" s="46">
        <f t="shared" si="64"/>
        <v>0</v>
      </c>
      <c r="AW489" s="46">
        <f t="shared" si="65"/>
        <v>0</v>
      </c>
      <c r="AX489" s="46">
        <f t="shared" si="66"/>
        <v>0</v>
      </c>
      <c r="AY489" s="42" t="s">
        <v>132</v>
      </c>
      <c r="AZ489" s="42" t="s">
        <v>1166</v>
      </c>
      <c r="BA489" s="1" t="s">
        <v>1213</v>
      </c>
      <c r="BC489" s="46">
        <f t="shared" si="67"/>
        <v>0</v>
      </c>
      <c r="BD489" s="46">
        <f t="shared" si="68"/>
        <v>0</v>
      </c>
      <c r="BE489" s="46">
        <v>0</v>
      </c>
      <c r="BF489" s="46">
        <f>489</f>
        <v>489</v>
      </c>
      <c r="BH489" s="46">
        <f t="shared" si="69"/>
        <v>0</v>
      </c>
      <c r="BI489" s="46">
        <f t="shared" si="70"/>
        <v>0</v>
      </c>
      <c r="BJ489" s="46">
        <f t="shared" si="71"/>
        <v>0</v>
      </c>
      <c r="BK489" s="46"/>
      <c r="BL489" s="46">
        <v>89</v>
      </c>
    </row>
    <row r="490" spans="1:64" ht="15" customHeight="1">
      <c r="A490" s="52" t="s">
        <v>1753</v>
      </c>
      <c r="B490" s="43" t="s">
        <v>323</v>
      </c>
      <c r="C490" s="43" t="s">
        <v>146</v>
      </c>
      <c r="D490" s="61" t="s">
        <v>1294</v>
      </c>
      <c r="E490" s="61"/>
      <c r="F490" s="61"/>
      <c r="G490" s="61"/>
      <c r="H490" s="43" t="s">
        <v>392</v>
      </c>
      <c r="I490" s="46">
        <v>22</v>
      </c>
      <c r="J490" s="46">
        <v>0</v>
      </c>
      <c r="K490" s="46">
        <f t="shared" si="48"/>
        <v>0</v>
      </c>
      <c r="L490" s="46">
        <f t="shared" si="49"/>
        <v>0</v>
      </c>
      <c r="M490" s="46">
        <f t="shared" si="50"/>
        <v>0</v>
      </c>
      <c r="N490" s="46">
        <v>0</v>
      </c>
      <c r="O490" s="6" t="s">
        <v>1149</v>
      </c>
      <c r="Z490" s="46">
        <f t="shared" si="51"/>
        <v>0</v>
      </c>
      <c r="AB490" s="46">
        <f t="shared" si="52"/>
        <v>0</v>
      </c>
      <c r="AC490" s="46">
        <f t="shared" si="53"/>
        <v>0</v>
      </c>
      <c r="AD490" s="46">
        <f t="shared" si="54"/>
        <v>0</v>
      </c>
      <c r="AE490" s="46">
        <f t="shared" si="55"/>
        <v>0</v>
      </c>
      <c r="AF490" s="46">
        <f t="shared" si="56"/>
        <v>0</v>
      </c>
      <c r="AG490" s="46">
        <f t="shared" si="57"/>
        <v>0</v>
      </c>
      <c r="AH490" s="46">
        <f t="shared" si="58"/>
        <v>0</v>
      </c>
      <c r="AI490" s="1" t="s">
        <v>323</v>
      </c>
      <c r="AJ490" s="46">
        <f t="shared" si="59"/>
        <v>0</v>
      </c>
      <c r="AK490" s="46">
        <f t="shared" si="60"/>
        <v>0</v>
      </c>
      <c r="AL490" s="46">
        <f t="shared" si="61"/>
        <v>0</v>
      </c>
      <c r="AN490" s="46">
        <v>21</v>
      </c>
      <c r="AO490" s="46">
        <f>J490*0</f>
        <v>0</v>
      </c>
      <c r="AP490" s="46">
        <f>J490*(1-0)</f>
        <v>0</v>
      </c>
      <c r="AQ490" s="42" t="s">
        <v>1648</v>
      </c>
      <c r="AV490" s="46">
        <f t="shared" si="64"/>
        <v>0</v>
      </c>
      <c r="AW490" s="46">
        <f t="shared" si="65"/>
        <v>0</v>
      </c>
      <c r="AX490" s="46">
        <f t="shared" si="66"/>
        <v>0</v>
      </c>
      <c r="AY490" s="42" t="s">
        <v>132</v>
      </c>
      <c r="AZ490" s="42" t="s">
        <v>1166</v>
      </c>
      <c r="BA490" s="1" t="s">
        <v>1213</v>
      </c>
      <c r="BC490" s="46">
        <f t="shared" si="67"/>
        <v>0</v>
      </c>
      <c r="BD490" s="46">
        <f t="shared" si="68"/>
        <v>0</v>
      </c>
      <c r="BE490" s="46">
        <v>0</v>
      </c>
      <c r="BF490" s="46">
        <f>490</f>
        <v>490</v>
      </c>
      <c r="BH490" s="46">
        <f t="shared" si="69"/>
        <v>0</v>
      </c>
      <c r="BI490" s="46">
        <f t="shared" si="70"/>
        <v>0</v>
      </c>
      <c r="BJ490" s="46">
        <f t="shared" si="71"/>
        <v>0</v>
      </c>
      <c r="BK490" s="46"/>
      <c r="BL490" s="46">
        <v>89</v>
      </c>
    </row>
    <row r="491" spans="1:15" ht="15" customHeight="1">
      <c r="A491" s="10"/>
      <c r="D491" s="32" t="s">
        <v>7</v>
      </c>
      <c r="G491" s="32" t="s">
        <v>1163</v>
      </c>
      <c r="I491" s="58">
        <v>22.000000000000004</v>
      </c>
      <c r="O491" s="30"/>
    </row>
    <row r="492" spans="1:64" ht="15" customHeight="1">
      <c r="A492" s="52" t="s">
        <v>1265</v>
      </c>
      <c r="B492" s="43" t="s">
        <v>323</v>
      </c>
      <c r="C492" s="43" t="s">
        <v>782</v>
      </c>
      <c r="D492" s="61" t="s">
        <v>1445</v>
      </c>
      <c r="E492" s="61"/>
      <c r="F492" s="61"/>
      <c r="G492" s="61"/>
      <c r="H492" s="43" t="s">
        <v>392</v>
      </c>
      <c r="I492" s="46">
        <v>16</v>
      </c>
      <c r="J492" s="46">
        <v>0</v>
      </c>
      <c r="K492" s="46">
        <f>I492*AO492</f>
        <v>0</v>
      </c>
      <c r="L492" s="46">
        <f>I492*AP492</f>
        <v>0</v>
      </c>
      <c r="M492" s="46">
        <f>I492*J492</f>
        <v>0</v>
      </c>
      <c r="N492" s="46">
        <v>0</v>
      </c>
      <c r="O492" s="6" t="s">
        <v>1149</v>
      </c>
      <c r="Z492" s="46">
        <f>IF(AQ492="5",BJ492,0)</f>
        <v>0</v>
      </c>
      <c r="AB492" s="46">
        <f>IF(AQ492="1",BH492,0)</f>
        <v>0</v>
      </c>
      <c r="AC492" s="46">
        <f>IF(AQ492="1",BI492,0)</f>
        <v>0</v>
      </c>
      <c r="AD492" s="46">
        <f>IF(AQ492="7",BH492,0)</f>
        <v>0</v>
      </c>
      <c r="AE492" s="46">
        <f>IF(AQ492="7",BI492,0)</f>
        <v>0</v>
      </c>
      <c r="AF492" s="46">
        <f>IF(AQ492="2",BH492,0)</f>
        <v>0</v>
      </c>
      <c r="AG492" s="46">
        <f>IF(AQ492="2",BI492,0)</f>
        <v>0</v>
      </c>
      <c r="AH492" s="46">
        <f>IF(AQ492="0",BJ492,0)</f>
        <v>0</v>
      </c>
      <c r="AI492" s="1" t="s">
        <v>323</v>
      </c>
      <c r="AJ492" s="46">
        <f>IF(AN492=0,M492,0)</f>
        <v>0</v>
      </c>
      <c r="AK492" s="46">
        <f>IF(AN492=15,M492,0)</f>
        <v>0</v>
      </c>
      <c r="AL492" s="46">
        <f>IF(AN492=21,M492,0)</f>
        <v>0</v>
      </c>
      <c r="AN492" s="46">
        <v>21</v>
      </c>
      <c r="AO492" s="46">
        <f>J492*1</f>
        <v>0</v>
      </c>
      <c r="AP492" s="46">
        <f>J492*(1-1)</f>
        <v>0</v>
      </c>
      <c r="AQ492" s="42" t="s">
        <v>1648</v>
      </c>
      <c r="AV492" s="46">
        <f>AW492+AX492</f>
        <v>0</v>
      </c>
      <c r="AW492" s="46">
        <f>I492*AO492</f>
        <v>0</v>
      </c>
      <c r="AX492" s="46">
        <f>I492*AP492</f>
        <v>0</v>
      </c>
      <c r="AY492" s="42" t="s">
        <v>132</v>
      </c>
      <c r="AZ492" s="42" t="s">
        <v>1166</v>
      </c>
      <c r="BA492" s="1" t="s">
        <v>1213</v>
      </c>
      <c r="BC492" s="46">
        <f>AW492+AX492</f>
        <v>0</v>
      </c>
      <c r="BD492" s="46">
        <f>J492/(100-BE492)*100</f>
        <v>0</v>
      </c>
      <c r="BE492" s="46">
        <v>0</v>
      </c>
      <c r="BF492" s="46">
        <f>492</f>
        <v>492</v>
      </c>
      <c r="BH492" s="46">
        <f>I492*AO492</f>
        <v>0</v>
      </c>
      <c r="BI492" s="46">
        <f>I492*AP492</f>
        <v>0</v>
      </c>
      <c r="BJ492" s="46">
        <f>I492*J492</f>
        <v>0</v>
      </c>
      <c r="BK492" s="46"/>
      <c r="BL492" s="46">
        <v>89</v>
      </c>
    </row>
    <row r="493" spans="1:64" ht="15" customHeight="1">
      <c r="A493" s="52" t="s">
        <v>966</v>
      </c>
      <c r="B493" s="43" t="s">
        <v>323</v>
      </c>
      <c r="C493" s="43" t="s">
        <v>1371</v>
      </c>
      <c r="D493" s="61" t="s">
        <v>1287</v>
      </c>
      <c r="E493" s="61"/>
      <c r="F493" s="61"/>
      <c r="G493" s="61"/>
      <c r="H493" s="43" t="s">
        <v>392</v>
      </c>
      <c r="I493" s="46">
        <v>6</v>
      </c>
      <c r="J493" s="46">
        <v>0</v>
      </c>
      <c r="K493" s="46">
        <f>I493*AO493</f>
        <v>0</v>
      </c>
      <c r="L493" s="46">
        <f>I493*AP493</f>
        <v>0</v>
      </c>
      <c r="M493" s="46">
        <f>I493*J493</f>
        <v>0</v>
      </c>
      <c r="N493" s="46">
        <v>0.5</v>
      </c>
      <c r="O493" s="6" t="s">
        <v>1149</v>
      </c>
      <c r="Z493" s="46">
        <f>IF(AQ493="5",BJ493,0)</f>
        <v>0</v>
      </c>
      <c r="AB493" s="46">
        <f>IF(AQ493="1",BH493,0)</f>
        <v>0</v>
      </c>
      <c r="AC493" s="46">
        <f>IF(AQ493="1",BI493,0)</f>
        <v>0</v>
      </c>
      <c r="AD493" s="46">
        <f>IF(AQ493="7",BH493,0)</f>
        <v>0</v>
      </c>
      <c r="AE493" s="46">
        <f>IF(AQ493="7",BI493,0)</f>
        <v>0</v>
      </c>
      <c r="AF493" s="46">
        <f>IF(AQ493="2",BH493,0)</f>
        <v>0</v>
      </c>
      <c r="AG493" s="46">
        <f>IF(AQ493="2",BI493,0)</f>
        <v>0</v>
      </c>
      <c r="AH493" s="46">
        <f>IF(AQ493="0",BJ493,0)</f>
        <v>0</v>
      </c>
      <c r="AI493" s="1" t="s">
        <v>323</v>
      </c>
      <c r="AJ493" s="46">
        <f>IF(AN493=0,M493,0)</f>
        <v>0</v>
      </c>
      <c r="AK493" s="46">
        <f>IF(AN493=15,M493,0)</f>
        <v>0</v>
      </c>
      <c r="AL493" s="46">
        <f>IF(AN493=21,M493,0)</f>
        <v>0</v>
      </c>
      <c r="AN493" s="46">
        <v>21</v>
      </c>
      <c r="AO493" s="46">
        <f>J493*1</f>
        <v>0</v>
      </c>
      <c r="AP493" s="46">
        <f>J493*(1-1)</f>
        <v>0</v>
      </c>
      <c r="AQ493" s="42" t="s">
        <v>1648</v>
      </c>
      <c r="AV493" s="46">
        <f>AW493+AX493</f>
        <v>0</v>
      </c>
      <c r="AW493" s="46">
        <f>I493*AO493</f>
        <v>0</v>
      </c>
      <c r="AX493" s="46">
        <f>I493*AP493</f>
        <v>0</v>
      </c>
      <c r="AY493" s="42" t="s">
        <v>132</v>
      </c>
      <c r="AZ493" s="42" t="s">
        <v>1166</v>
      </c>
      <c r="BA493" s="1" t="s">
        <v>1213</v>
      </c>
      <c r="BC493" s="46">
        <f>AW493+AX493</f>
        <v>0</v>
      </c>
      <c r="BD493" s="46">
        <f>J493/(100-BE493)*100</f>
        <v>0</v>
      </c>
      <c r="BE493" s="46">
        <v>0</v>
      </c>
      <c r="BF493" s="46">
        <f>493</f>
        <v>493</v>
      </c>
      <c r="BH493" s="46">
        <f>I493*AO493</f>
        <v>0</v>
      </c>
      <c r="BI493" s="46">
        <f>I493*AP493</f>
        <v>0</v>
      </c>
      <c r="BJ493" s="46">
        <f>I493*J493</f>
        <v>0</v>
      </c>
      <c r="BK493" s="46"/>
      <c r="BL493" s="46">
        <v>89</v>
      </c>
    </row>
    <row r="494" spans="1:64" ht="15" customHeight="1">
      <c r="A494" s="52" t="s">
        <v>1692</v>
      </c>
      <c r="B494" s="43" t="s">
        <v>323</v>
      </c>
      <c r="C494" s="43" t="s">
        <v>642</v>
      </c>
      <c r="D494" s="61" t="s">
        <v>1332</v>
      </c>
      <c r="E494" s="61"/>
      <c r="F494" s="61"/>
      <c r="G494" s="61"/>
      <c r="H494" s="43" t="s">
        <v>392</v>
      </c>
      <c r="I494" s="46">
        <v>65</v>
      </c>
      <c r="J494" s="46">
        <v>0</v>
      </c>
      <c r="K494" s="46">
        <f>I494*AO494</f>
        <v>0</v>
      </c>
      <c r="L494" s="46">
        <f>I494*AP494</f>
        <v>0</v>
      </c>
      <c r="M494" s="46">
        <f>I494*J494</f>
        <v>0</v>
      </c>
      <c r="N494" s="46">
        <v>0</v>
      </c>
      <c r="O494" s="6" t="s">
        <v>1149</v>
      </c>
      <c r="Z494" s="46">
        <f>IF(AQ494="5",BJ494,0)</f>
        <v>0</v>
      </c>
      <c r="AB494" s="46">
        <f>IF(AQ494="1",BH494,0)</f>
        <v>0</v>
      </c>
      <c r="AC494" s="46">
        <f>IF(AQ494="1",BI494,0)</f>
        <v>0</v>
      </c>
      <c r="AD494" s="46">
        <f>IF(AQ494="7",BH494,0)</f>
        <v>0</v>
      </c>
      <c r="AE494" s="46">
        <f>IF(AQ494="7",BI494,0)</f>
        <v>0</v>
      </c>
      <c r="AF494" s="46">
        <f>IF(AQ494="2",BH494,0)</f>
        <v>0</v>
      </c>
      <c r="AG494" s="46">
        <f>IF(AQ494="2",BI494,0)</f>
        <v>0</v>
      </c>
      <c r="AH494" s="46">
        <f>IF(AQ494="0",BJ494,0)</f>
        <v>0</v>
      </c>
      <c r="AI494" s="1" t="s">
        <v>323</v>
      </c>
      <c r="AJ494" s="46">
        <f>IF(AN494=0,M494,0)</f>
        <v>0</v>
      </c>
      <c r="AK494" s="46">
        <f>IF(AN494=15,M494,0)</f>
        <v>0</v>
      </c>
      <c r="AL494" s="46">
        <f>IF(AN494=21,M494,0)</f>
        <v>0</v>
      </c>
      <c r="AN494" s="46">
        <v>21</v>
      </c>
      <c r="AO494" s="46">
        <f>J494*1</f>
        <v>0</v>
      </c>
      <c r="AP494" s="46">
        <f>J494*(1-1)</f>
        <v>0</v>
      </c>
      <c r="AQ494" s="42" t="s">
        <v>1648</v>
      </c>
      <c r="AV494" s="46">
        <f>AW494+AX494</f>
        <v>0</v>
      </c>
      <c r="AW494" s="46">
        <f>I494*AO494</f>
        <v>0</v>
      </c>
      <c r="AX494" s="46">
        <f>I494*AP494</f>
        <v>0</v>
      </c>
      <c r="AY494" s="42" t="s">
        <v>132</v>
      </c>
      <c r="AZ494" s="42" t="s">
        <v>1166</v>
      </c>
      <c r="BA494" s="1" t="s">
        <v>1213</v>
      </c>
      <c r="BC494" s="46">
        <f>AW494+AX494</f>
        <v>0</v>
      </c>
      <c r="BD494" s="46">
        <f>J494/(100-BE494)*100</f>
        <v>0</v>
      </c>
      <c r="BE494" s="46">
        <v>0</v>
      </c>
      <c r="BF494" s="46">
        <f>494</f>
        <v>494</v>
      </c>
      <c r="BH494" s="46">
        <f>I494*AO494</f>
        <v>0</v>
      </c>
      <c r="BI494" s="46">
        <f>I494*AP494</f>
        <v>0</v>
      </c>
      <c r="BJ494" s="46">
        <f>I494*J494</f>
        <v>0</v>
      </c>
      <c r="BK494" s="46"/>
      <c r="BL494" s="46">
        <v>89</v>
      </c>
    </row>
    <row r="495" spans="1:15" ht="15" customHeight="1">
      <c r="A495" s="10"/>
      <c r="D495" s="32" t="s">
        <v>904</v>
      </c>
      <c r="G495" s="32" t="s">
        <v>836</v>
      </c>
      <c r="I495" s="58">
        <v>65</v>
      </c>
      <c r="O495" s="30"/>
    </row>
    <row r="496" spans="1:64" ht="15" customHeight="1">
      <c r="A496" s="52" t="s">
        <v>1344</v>
      </c>
      <c r="B496" s="43" t="s">
        <v>323</v>
      </c>
      <c r="C496" s="43" t="s">
        <v>1307</v>
      </c>
      <c r="D496" s="61" t="s">
        <v>597</v>
      </c>
      <c r="E496" s="61"/>
      <c r="F496" s="61"/>
      <c r="G496" s="61"/>
      <c r="H496" s="43" t="s">
        <v>392</v>
      </c>
      <c r="I496" s="46">
        <v>16</v>
      </c>
      <c r="J496" s="46">
        <v>0</v>
      </c>
      <c r="K496" s="46">
        <f>I496*AO496</f>
        <v>0</v>
      </c>
      <c r="L496" s="46">
        <f>I496*AP496</f>
        <v>0</v>
      </c>
      <c r="M496" s="46">
        <f>I496*J496</f>
        <v>0</v>
      </c>
      <c r="N496" s="46">
        <v>0.00702</v>
      </c>
      <c r="O496" s="6" t="s">
        <v>1149</v>
      </c>
      <c r="Z496" s="46">
        <f>IF(AQ496="5",BJ496,0)</f>
        <v>0</v>
      </c>
      <c r="AB496" s="46">
        <f>IF(AQ496="1",BH496,0)</f>
        <v>0</v>
      </c>
      <c r="AC496" s="46">
        <f>IF(AQ496="1",BI496,0)</f>
        <v>0</v>
      </c>
      <c r="AD496" s="46">
        <f>IF(AQ496="7",BH496,0)</f>
        <v>0</v>
      </c>
      <c r="AE496" s="46">
        <f>IF(AQ496="7",BI496,0)</f>
        <v>0</v>
      </c>
      <c r="AF496" s="46">
        <f>IF(AQ496="2",BH496,0)</f>
        <v>0</v>
      </c>
      <c r="AG496" s="46">
        <f>IF(AQ496="2",BI496,0)</f>
        <v>0</v>
      </c>
      <c r="AH496" s="46">
        <f>IF(AQ496="0",BJ496,0)</f>
        <v>0</v>
      </c>
      <c r="AI496" s="1" t="s">
        <v>323</v>
      </c>
      <c r="AJ496" s="46">
        <f>IF(AN496=0,M496,0)</f>
        <v>0</v>
      </c>
      <c r="AK496" s="46">
        <f>IF(AN496=15,M496,0)</f>
        <v>0</v>
      </c>
      <c r="AL496" s="46">
        <f>IF(AN496=21,M496,0)</f>
        <v>0</v>
      </c>
      <c r="AN496" s="46">
        <v>21</v>
      </c>
      <c r="AO496" s="46">
        <f>J496*0.0102210490819661</f>
        <v>0</v>
      </c>
      <c r="AP496" s="46">
        <f>J496*(1-0.0102210490819661)</f>
        <v>0</v>
      </c>
      <c r="AQ496" s="42" t="s">
        <v>1648</v>
      </c>
      <c r="AV496" s="46">
        <f>AW496+AX496</f>
        <v>0</v>
      </c>
      <c r="AW496" s="46">
        <f>I496*AO496</f>
        <v>0</v>
      </c>
      <c r="AX496" s="46">
        <f>I496*AP496</f>
        <v>0</v>
      </c>
      <c r="AY496" s="42" t="s">
        <v>132</v>
      </c>
      <c r="AZ496" s="42" t="s">
        <v>1166</v>
      </c>
      <c r="BA496" s="1" t="s">
        <v>1213</v>
      </c>
      <c r="BC496" s="46">
        <f>AW496+AX496</f>
        <v>0</v>
      </c>
      <c r="BD496" s="46">
        <f>J496/(100-BE496)*100</f>
        <v>0</v>
      </c>
      <c r="BE496" s="46">
        <v>0</v>
      </c>
      <c r="BF496" s="46">
        <f>496</f>
        <v>496</v>
      </c>
      <c r="BH496" s="46">
        <f>I496*AO496</f>
        <v>0</v>
      </c>
      <c r="BI496" s="46">
        <f>I496*AP496</f>
        <v>0</v>
      </c>
      <c r="BJ496" s="46">
        <f>I496*J496</f>
        <v>0</v>
      </c>
      <c r="BK496" s="46"/>
      <c r="BL496" s="46">
        <v>89</v>
      </c>
    </row>
    <row r="497" spans="1:64" ht="15" customHeight="1">
      <c r="A497" s="52" t="s">
        <v>1619</v>
      </c>
      <c r="B497" s="43" t="s">
        <v>323</v>
      </c>
      <c r="C497" s="43" t="s">
        <v>933</v>
      </c>
      <c r="D497" s="61" t="s">
        <v>75</v>
      </c>
      <c r="E497" s="61"/>
      <c r="F497" s="61"/>
      <c r="G497" s="61"/>
      <c r="H497" s="43" t="s">
        <v>392</v>
      </c>
      <c r="I497" s="46">
        <v>16</v>
      </c>
      <c r="J497" s="46">
        <v>0</v>
      </c>
      <c r="K497" s="46">
        <f>I497*AO497</f>
        <v>0</v>
      </c>
      <c r="L497" s="46">
        <f>I497*AP497</f>
        <v>0</v>
      </c>
      <c r="M497" s="46">
        <f>I497*J497</f>
        <v>0</v>
      </c>
      <c r="N497" s="46">
        <v>0.062</v>
      </c>
      <c r="O497" s="6" t="s">
        <v>1149</v>
      </c>
      <c r="Z497" s="46">
        <f>IF(AQ497="5",BJ497,0)</f>
        <v>0</v>
      </c>
      <c r="AB497" s="46">
        <f>IF(AQ497="1",BH497,0)</f>
        <v>0</v>
      </c>
      <c r="AC497" s="46">
        <f>IF(AQ497="1",BI497,0)</f>
        <v>0</v>
      </c>
      <c r="AD497" s="46">
        <f>IF(AQ497="7",BH497,0)</f>
        <v>0</v>
      </c>
      <c r="AE497" s="46">
        <f>IF(AQ497="7",BI497,0)</f>
        <v>0</v>
      </c>
      <c r="AF497" s="46">
        <f>IF(AQ497="2",BH497,0)</f>
        <v>0</v>
      </c>
      <c r="AG497" s="46">
        <f>IF(AQ497="2",BI497,0)</f>
        <v>0</v>
      </c>
      <c r="AH497" s="46">
        <f>IF(AQ497="0",BJ497,0)</f>
        <v>0</v>
      </c>
      <c r="AI497" s="1" t="s">
        <v>323</v>
      </c>
      <c r="AJ497" s="46">
        <f>IF(AN497=0,M497,0)</f>
        <v>0</v>
      </c>
      <c r="AK497" s="46">
        <f>IF(AN497=15,M497,0)</f>
        <v>0</v>
      </c>
      <c r="AL497" s="46">
        <f>IF(AN497=21,M497,0)</f>
        <v>0</v>
      </c>
      <c r="AN497" s="46">
        <v>21</v>
      </c>
      <c r="AO497" s="46">
        <f>J497*1</f>
        <v>0</v>
      </c>
      <c r="AP497" s="46">
        <f>J497*(1-1)</f>
        <v>0</v>
      </c>
      <c r="AQ497" s="42" t="s">
        <v>1648</v>
      </c>
      <c r="AV497" s="46">
        <f>AW497+AX497</f>
        <v>0</v>
      </c>
      <c r="AW497" s="46">
        <f>I497*AO497</f>
        <v>0</v>
      </c>
      <c r="AX497" s="46">
        <f>I497*AP497</f>
        <v>0</v>
      </c>
      <c r="AY497" s="42" t="s">
        <v>132</v>
      </c>
      <c r="AZ497" s="42" t="s">
        <v>1166</v>
      </c>
      <c r="BA497" s="1" t="s">
        <v>1213</v>
      </c>
      <c r="BC497" s="46">
        <f>AW497+AX497</f>
        <v>0</v>
      </c>
      <c r="BD497" s="46">
        <f>J497/(100-BE497)*100</f>
        <v>0</v>
      </c>
      <c r="BE497" s="46">
        <v>0</v>
      </c>
      <c r="BF497" s="46">
        <f>497</f>
        <v>497</v>
      </c>
      <c r="BH497" s="46">
        <f>I497*AO497</f>
        <v>0</v>
      </c>
      <c r="BI497" s="46">
        <f>I497*AP497</f>
        <v>0</v>
      </c>
      <c r="BJ497" s="46">
        <f>I497*J497</f>
        <v>0</v>
      </c>
      <c r="BK497" s="46"/>
      <c r="BL497" s="46">
        <v>89</v>
      </c>
    </row>
    <row r="498" spans="1:64" ht="15" customHeight="1">
      <c r="A498" s="52" t="s">
        <v>282</v>
      </c>
      <c r="B498" s="43" t="s">
        <v>323</v>
      </c>
      <c r="C498" s="43" t="s">
        <v>610</v>
      </c>
      <c r="D498" s="61" t="s">
        <v>1612</v>
      </c>
      <c r="E498" s="61"/>
      <c r="F498" s="61"/>
      <c r="G498" s="61"/>
      <c r="H498" s="43" t="s">
        <v>1365</v>
      </c>
      <c r="I498" s="46">
        <v>182.9</v>
      </c>
      <c r="J498" s="46">
        <v>0</v>
      </c>
      <c r="K498" s="46">
        <f>I498*AO498</f>
        <v>0</v>
      </c>
      <c r="L498" s="46">
        <f>I498*AP498</f>
        <v>0</v>
      </c>
      <c r="M498" s="46">
        <f>I498*J498</f>
        <v>0</v>
      </c>
      <c r="N498" s="46">
        <v>0</v>
      </c>
      <c r="O498" s="6" t="s">
        <v>1149</v>
      </c>
      <c r="Z498" s="46">
        <f>IF(AQ498="5",BJ498,0)</f>
        <v>0</v>
      </c>
      <c r="AB498" s="46">
        <f>IF(AQ498="1",BH498,0)</f>
        <v>0</v>
      </c>
      <c r="AC498" s="46">
        <f>IF(AQ498="1",BI498,0)</f>
        <v>0</v>
      </c>
      <c r="AD498" s="46">
        <f>IF(AQ498="7",BH498,0)</f>
        <v>0</v>
      </c>
      <c r="AE498" s="46">
        <f>IF(AQ498="7",BI498,0)</f>
        <v>0</v>
      </c>
      <c r="AF498" s="46">
        <f>IF(AQ498="2",BH498,0)</f>
        <v>0</v>
      </c>
      <c r="AG498" s="46">
        <f>IF(AQ498="2",BI498,0)</f>
        <v>0</v>
      </c>
      <c r="AH498" s="46">
        <f>IF(AQ498="0",BJ498,0)</f>
        <v>0</v>
      </c>
      <c r="AI498" s="1" t="s">
        <v>323</v>
      </c>
      <c r="AJ498" s="46">
        <f>IF(AN498=0,M498,0)</f>
        <v>0</v>
      </c>
      <c r="AK498" s="46">
        <f>IF(AN498=15,M498,0)</f>
        <v>0</v>
      </c>
      <c r="AL498" s="46">
        <f>IF(AN498=21,M498,0)</f>
        <v>0</v>
      </c>
      <c r="AN498" s="46">
        <v>21</v>
      </c>
      <c r="AO498" s="46">
        <f>J498*0.129513888888889</f>
        <v>0</v>
      </c>
      <c r="AP498" s="46">
        <f>J498*(1-0.129513888888889)</f>
        <v>0</v>
      </c>
      <c r="AQ498" s="42" t="s">
        <v>1648</v>
      </c>
      <c r="AV498" s="46">
        <f>AW498+AX498</f>
        <v>0</v>
      </c>
      <c r="AW498" s="46">
        <f>I498*AO498</f>
        <v>0</v>
      </c>
      <c r="AX498" s="46">
        <f>I498*AP498</f>
        <v>0</v>
      </c>
      <c r="AY498" s="42" t="s">
        <v>132</v>
      </c>
      <c r="AZ498" s="42" t="s">
        <v>1166</v>
      </c>
      <c r="BA498" s="1" t="s">
        <v>1213</v>
      </c>
      <c r="BC498" s="46">
        <f>AW498+AX498</f>
        <v>0</v>
      </c>
      <c r="BD498" s="46">
        <f>J498/(100-BE498)*100</f>
        <v>0</v>
      </c>
      <c r="BE498" s="46">
        <v>0</v>
      </c>
      <c r="BF498" s="46">
        <f>498</f>
        <v>498</v>
      </c>
      <c r="BH498" s="46">
        <f>I498*AO498</f>
        <v>0</v>
      </c>
      <c r="BI498" s="46">
        <f>I498*AP498</f>
        <v>0</v>
      </c>
      <c r="BJ498" s="46">
        <f>I498*J498</f>
        <v>0</v>
      </c>
      <c r="BK498" s="46"/>
      <c r="BL498" s="46">
        <v>89</v>
      </c>
    </row>
    <row r="499" spans="1:15" ht="15" customHeight="1">
      <c r="A499" s="10"/>
      <c r="D499" s="32" t="s">
        <v>1153</v>
      </c>
      <c r="G499" s="32" t="s">
        <v>1163</v>
      </c>
      <c r="I499" s="58">
        <v>182.9</v>
      </c>
      <c r="O499" s="30"/>
    </row>
    <row r="500" spans="1:64" ht="15" customHeight="1">
      <c r="A500" s="52" t="s">
        <v>1372</v>
      </c>
      <c r="B500" s="43" t="s">
        <v>323</v>
      </c>
      <c r="C500" s="43" t="s">
        <v>910</v>
      </c>
      <c r="D500" s="61" t="s">
        <v>602</v>
      </c>
      <c r="E500" s="61"/>
      <c r="F500" s="61"/>
      <c r="G500" s="61"/>
      <c r="H500" s="43" t="s">
        <v>1780</v>
      </c>
      <c r="I500" s="46">
        <v>4</v>
      </c>
      <c r="J500" s="46">
        <v>0</v>
      </c>
      <c r="K500" s="46">
        <f>I500*AO500</f>
        <v>0</v>
      </c>
      <c r="L500" s="46">
        <f>I500*AP500</f>
        <v>0</v>
      </c>
      <c r="M500" s="46">
        <f>I500*J500</f>
        <v>0</v>
      </c>
      <c r="N500" s="46">
        <v>0.00032</v>
      </c>
      <c r="O500" s="6" t="s">
        <v>1149</v>
      </c>
      <c r="Z500" s="46">
        <f>IF(AQ500="5",BJ500,0)</f>
        <v>0</v>
      </c>
      <c r="AB500" s="46">
        <f>IF(AQ500="1",BH500,0)</f>
        <v>0</v>
      </c>
      <c r="AC500" s="46">
        <f>IF(AQ500="1",BI500,0)</f>
        <v>0</v>
      </c>
      <c r="AD500" s="46">
        <f>IF(AQ500="7",BH500,0)</f>
        <v>0</v>
      </c>
      <c r="AE500" s="46">
        <f>IF(AQ500="7",BI500,0)</f>
        <v>0</v>
      </c>
      <c r="AF500" s="46">
        <f>IF(AQ500="2",BH500,0)</f>
        <v>0</v>
      </c>
      <c r="AG500" s="46">
        <f>IF(AQ500="2",BI500,0)</f>
        <v>0</v>
      </c>
      <c r="AH500" s="46">
        <f>IF(AQ500="0",BJ500,0)</f>
        <v>0</v>
      </c>
      <c r="AI500" s="1" t="s">
        <v>323</v>
      </c>
      <c r="AJ500" s="46">
        <f>IF(AN500=0,M500,0)</f>
        <v>0</v>
      </c>
      <c r="AK500" s="46">
        <f>IF(AN500=15,M500,0)</f>
        <v>0</v>
      </c>
      <c r="AL500" s="46">
        <f>IF(AN500=21,M500,0)</f>
        <v>0</v>
      </c>
      <c r="AN500" s="46">
        <v>21</v>
      </c>
      <c r="AO500" s="46">
        <f>J500*0.172805875566436</f>
        <v>0</v>
      </c>
      <c r="AP500" s="46">
        <f>J500*(1-0.172805875566436)</f>
        <v>0</v>
      </c>
      <c r="AQ500" s="42" t="s">
        <v>1648</v>
      </c>
      <c r="AV500" s="46">
        <f>AW500+AX500</f>
        <v>0</v>
      </c>
      <c r="AW500" s="46">
        <f>I500*AO500</f>
        <v>0</v>
      </c>
      <c r="AX500" s="46">
        <f>I500*AP500</f>
        <v>0</v>
      </c>
      <c r="AY500" s="42" t="s">
        <v>132</v>
      </c>
      <c r="AZ500" s="42" t="s">
        <v>1166</v>
      </c>
      <c r="BA500" s="1" t="s">
        <v>1213</v>
      </c>
      <c r="BC500" s="46">
        <f>AW500+AX500</f>
        <v>0</v>
      </c>
      <c r="BD500" s="46">
        <f>J500/(100-BE500)*100</f>
        <v>0</v>
      </c>
      <c r="BE500" s="46">
        <v>0</v>
      </c>
      <c r="BF500" s="46">
        <f>500</f>
        <v>500</v>
      </c>
      <c r="BH500" s="46">
        <f>I500*AO500</f>
        <v>0</v>
      </c>
      <c r="BI500" s="46">
        <f>I500*AP500</f>
        <v>0</v>
      </c>
      <c r="BJ500" s="46">
        <f>I500*J500</f>
        <v>0</v>
      </c>
      <c r="BK500" s="46"/>
      <c r="BL500" s="46">
        <v>89</v>
      </c>
    </row>
    <row r="501" spans="1:64" ht="15" customHeight="1">
      <c r="A501" s="52" t="s">
        <v>1859</v>
      </c>
      <c r="B501" s="43" t="s">
        <v>323</v>
      </c>
      <c r="C501" s="43" t="s">
        <v>1339</v>
      </c>
      <c r="D501" s="61" t="s">
        <v>1535</v>
      </c>
      <c r="E501" s="61"/>
      <c r="F501" s="61"/>
      <c r="G501" s="61"/>
      <c r="H501" s="43" t="s">
        <v>1365</v>
      </c>
      <c r="I501" s="46">
        <v>163.5</v>
      </c>
      <c r="J501" s="46">
        <v>0</v>
      </c>
      <c r="K501" s="46">
        <f>I501*AO501</f>
        <v>0</v>
      </c>
      <c r="L501" s="46">
        <f>I501*AP501</f>
        <v>0</v>
      </c>
      <c r="M501" s="46">
        <f>I501*J501</f>
        <v>0</v>
      </c>
      <c r="N501" s="46">
        <v>0</v>
      </c>
      <c r="O501" s="6" t="s">
        <v>1149</v>
      </c>
      <c r="Z501" s="46">
        <f>IF(AQ501="5",BJ501,0)</f>
        <v>0</v>
      </c>
      <c r="AB501" s="46">
        <f>IF(AQ501="1",BH501,0)</f>
        <v>0</v>
      </c>
      <c r="AC501" s="46">
        <f>IF(AQ501="1",BI501,0)</f>
        <v>0</v>
      </c>
      <c r="AD501" s="46">
        <f>IF(AQ501="7",BH501,0)</f>
        <v>0</v>
      </c>
      <c r="AE501" s="46">
        <f>IF(AQ501="7",BI501,0)</f>
        <v>0</v>
      </c>
      <c r="AF501" s="46">
        <f>IF(AQ501="2",BH501,0)</f>
        <v>0</v>
      </c>
      <c r="AG501" s="46">
        <f>IF(AQ501="2",BI501,0)</f>
        <v>0</v>
      </c>
      <c r="AH501" s="46">
        <f>IF(AQ501="0",BJ501,0)</f>
        <v>0</v>
      </c>
      <c r="AI501" s="1" t="s">
        <v>323</v>
      </c>
      <c r="AJ501" s="46">
        <f>IF(AN501=0,M501,0)</f>
        <v>0</v>
      </c>
      <c r="AK501" s="46">
        <f>IF(AN501=15,M501,0)</f>
        <v>0</v>
      </c>
      <c r="AL501" s="46">
        <f>IF(AN501=21,M501,0)</f>
        <v>0</v>
      </c>
      <c r="AN501" s="46">
        <v>21</v>
      </c>
      <c r="AO501" s="46">
        <f>J501*0.20035799522673</f>
        <v>0</v>
      </c>
      <c r="AP501" s="46">
        <f>J501*(1-0.20035799522673)</f>
        <v>0</v>
      </c>
      <c r="AQ501" s="42" t="s">
        <v>1648</v>
      </c>
      <c r="AV501" s="46">
        <f>AW501+AX501</f>
        <v>0</v>
      </c>
      <c r="AW501" s="46">
        <f>I501*AO501</f>
        <v>0</v>
      </c>
      <c r="AX501" s="46">
        <f>I501*AP501</f>
        <v>0</v>
      </c>
      <c r="AY501" s="42" t="s">
        <v>132</v>
      </c>
      <c r="AZ501" s="42" t="s">
        <v>1166</v>
      </c>
      <c r="BA501" s="1" t="s">
        <v>1213</v>
      </c>
      <c r="BC501" s="46">
        <f>AW501+AX501</f>
        <v>0</v>
      </c>
      <c r="BD501" s="46">
        <f>J501/(100-BE501)*100</f>
        <v>0</v>
      </c>
      <c r="BE501" s="46">
        <v>0</v>
      </c>
      <c r="BF501" s="46">
        <f>501</f>
        <v>501</v>
      </c>
      <c r="BH501" s="46">
        <f>I501*AO501</f>
        <v>0</v>
      </c>
      <c r="BI501" s="46">
        <f>I501*AP501</f>
        <v>0</v>
      </c>
      <c r="BJ501" s="46">
        <f>I501*J501</f>
        <v>0</v>
      </c>
      <c r="BK501" s="46"/>
      <c r="BL501" s="46">
        <v>89</v>
      </c>
    </row>
    <row r="502" spans="1:15" ht="15" customHeight="1">
      <c r="A502" s="10"/>
      <c r="D502" s="32" t="s">
        <v>1735</v>
      </c>
      <c r="G502" s="32" t="s">
        <v>1163</v>
      </c>
      <c r="I502" s="58">
        <v>163.5</v>
      </c>
      <c r="O502" s="30"/>
    </row>
    <row r="503" spans="1:64" ht="15" customHeight="1">
      <c r="A503" s="52" t="s">
        <v>403</v>
      </c>
      <c r="B503" s="43" t="s">
        <v>323</v>
      </c>
      <c r="C503" s="43" t="s">
        <v>1082</v>
      </c>
      <c r="D503" s="61" t="s">
        <v>1048</v>
      </c>
      <c r="E503" s="61"/>
      <c r="F503" s="61"/>
      <c r="G503" s="61"/>
      <c r="H503" s="43" t="s">
        <v>1780</v>
      </c>
      <c r="I503" s="46">
        <v>5</v>
      </c>
      <c r="J503" s="46">
        <v>0</v>
      </c>
      <c r="K503" s="46">
        <f>I503*AO503</f>
        <v>0</v>
      </c>
      <c r="L503" s="46">
        <f>I503*AP503</f>
        <v>0</v>
      </c>
      <c r="M503" s="46">
        <f>I503*J503</f>
        <v>0</v>
      </c>
      <c r="N503" s="46">
        <v>0.00041</v>
      </c>
      <c r="O503" s="6" t="s">
        <v>1149</v>
      </c>
      <c r="Z503" s="46">
        <f>IF(AQ503="5",BJ503,0)</f>
        <v>0</v>
      </c>
      <c r="AB503" s="46">
        <f>IF(AQ503="1",BH503,0)</f>
        <v>0</v>
      </c>
      <c r="AC503" s="46">
        <f>IF(AQ503="1",BI503,0)</f>
        <v>0</v>
      </c>
      <c r="AD503" s="46">
        <f>IF(AQ503="7",BH503,0)</f>
        <v>0</v>
      </c>
      <c r="AE503" s="46">
        <f>IF(AQ503="7",BI503,0)</f>
        <v>0</v>
      </c>
      <c r="AF503" s="46">
        <f>IF(AQ503="2",BH503,0)</f>
        <v>0</v>
      </c>
      <c r="AG503" s="46">
        <f>IF(AQ503="2",BI503,0)</f>
        <v>0</v>
      </c>
      <c r="AH503" s="46">
        <f>IF(AQ503="0",BJ503,0)</f>
        <v>0</v>
      </c>
      <c r="AI503" s="1" t="s">
        <v>323</v>
      </c>
      <c r="AJ503" s="46">
        <f>IF(AN503=0,M503,0)</f>
        <v>0</v>
      </c>
      <c r="AK503" s="46">
        <f>IF(AN503=15,M503,0)</f>
        <v>0</v>
      </c>
      <c r="AL503" s="46">
        <f>IF(AN503=21,M503,0)</f>
        <v>0</v>
      </c>
      <c r="AN503" s="46">
        <v>21</v>
      </c>
      <c r="AO503" s="46">
        <f>J503*0.124624657534247</f>
        <v>0</v>
      </c>
      <c r="AP503" s="46">
        <f>J503*(1-0.124624657534247)</f>
        <v>0</v>
      </c>
      <c r="AQ503" s="42" t="s">
        <v>1648</v>
      </c>
      <c r="AV503" s="46">
        <f>AW503+AX503</f>
        <v>0</v>
      </c>
      <c r="AW503" s="46">
        <f>I503*AO503</f>
        <v>0</v>
      </c>
      <c r="AX503" s="46">
        <f>I503*AP503</f>
        <v>0</v>
      </c>
      <c r="AY503" s="42" t="s">
        <v>132</v>
      </c>
      <c r="AZ503" s="42" t="s">
        <v>1166</v>
      </c>
      <c r="BA503" s="1" t="s">
        <v>1213</v>
      </c>
      <c r="BC503" s="46">
        <f>AW503+AX503</f>
        <v>0</v>
      </c>
      <c r="BD503" s="46">
        <f>J503/(100-BE503)*100</f>
        <v>0</v>
      </c>
      <c r="BE503" s="46">
        <v>0</v>
      </c>
      <c r="BF503" s="46">
        <f>503</f>
        <v>503</v>
      </c>
      <c r="BH503" s="46">
        <f>I503*AO503</f>
        <v>0</v>
      </c>
      <c r="BI503" s="46">
        <f>I503*AP503</f>
        <v>0</v>
      </c>
      <c r="BJ503" s="46">
        <f>I503*J503</f>
        <v>0</v>
      </c>
      <c r="BK503" s="46"/>
      <c r="BL503" s="46">
        <v>89</v>
      </c>
    </row>
    <row r="504" spans="1:64" ht="15" customHeight="1">
      <c r="A504" s="52" t="s">
        <v>603</v>
      </c>
      <c r="B504" s="43" t="s">
        <v>323</v>
      </c>
      <c r="C504" s="43" t="s">
        <v>55</v>
      </c>
      <c r="D504" s="61" t="s">
        <v>154</v>
      </c>
      <c r="E504" s="61"/>
      <c r="F504" s="61"/>
      <c r="G504" s="61"/>
      <c r="H504" s="43" t="s">
        <v>1365</v>
      </c>
      <c r="I504" s="46">
        <v>100.5</v>
      </c>
      <c r="J504" s="46">
        <v>0</v>
      </c>
      <c r="K504" s="46">
        <f>I504*AO504</f>
        <v>0</v>
      </c>
      <c r="L504" s="46">
        <f>I504*AP504</f>
        <v>0</v>
      </c>
      <c r="M504" s="46">
        <f>I504*J504</f>
        <v>0</v>
      </c>
      <c r="N504" s="46">
        <v>0</v>
      </c>
      <c r="O504" s="6" t="s">
        <v>1149</v>
      </c>
      <c r="Z504" s="46">
        <f>IF(AQ504="5",BJ504,0)</f>
        <v>0</v>
      </c>
      <c r="AB504" s="46">
        <f>IF(AQ504="1",BH504,0)</f>
        <v>0</v>
      </c>
      <c r="AC504" s="46">
        <f>IF(AQ504="1",BI504,0)</f>
        <v>0</v>
      </c>
      <c r="AD504" s="46">
        <f>IF(AQ504="7",BH504,0)</f>
        <v>0</v>
      </c>
      <c r="AE504" s="46">
        <f>IF(AQ504="7",BI504,0)</f>
        <v>0</v>
      </c>
      <c r="AF504" s="46">
        <f>IF(AQ504="2",BH504,0)</f>
        <v>0</v>
      </c>
      <c r="AG504" s="46">
        <f>IF(AQ504="2",BI504,0)</f>
        <v>0</v>
      </c>
      <c r="AH504" s="46">
        <f>IF(AQ504="0",BJ504,0)</f>
        <v>0</v>
      </c>
      <c r="AI504" s="1" t="s">
        <v>323</v>
      </c>
      <c r="AJ504" s="46">
        <f>IF(AN504=0,M504,0)</f>
        <v>0</v>
      </c>
      <c r="AK504" s="46">
        <f>IF(AN504=15,M504,0)</f>
        <v>0</v>
      </c>
      <c r="AL504" s="46">
        <f>IF(AN504=21,M504,0)</f>
        <v>0</v>
      </c>
      <c r="AN504" s="46">
        <v>21</v>
      </c>
      <c r="AO504" s="46">
        <f>J504*0.245781445156535</f>
        <v>0</v>
      </c>
      <c r="AP504" s="46">
        <f>J504*(1-0.245781445156535)</f>
        <v>0</v>
      </c>
      <c r="AQ504" s="42" t="s">
        <v>1648</v>
      </c>
      <c r="AV504" s="46">
        <f>AW504+AX504</f>
        <v>0</v>
      </c>
      <c r="AW504" s="46">
        <f>I504*AO504</f>
        <v>0</v>
      </c>
      <c r="AX504" s="46">
        <f>I504*AP504</f>
        <v>0</v>
      </c>
      <c r="AY504" s="42" t="s">
        <v>132</v>
      </c>
      <c r="AZ504" s="42" t="s">
        <v>1166</v>
      </c>
      <c r="BA504" s="1" t="s">
        <v>1213</v>
      </c>
      <c r="BC504" s="46">
        <f>AW504+AX504</f>
        <v>0</v>
      </c>
      <c r="BD504" s="46">
        <f>J504/(100-BE504)*100</f>
        <v>0</v>
      </c>
      <c r="BE504" s="46">
        <v>0</v>
      </c>
      <c r="BF504" s="46">
        <f>504</f>
        <v>504</v>
      </c>
      <c r="BH504" s="46">
        <f>I504*AO504</f>
        <v>0</v>
      </c>
      <c r="BI504" s="46">
        <f>I504*AP504</f>
        <v>0</v>
      </c>
      <c r="BJ504" s="46">
        <f>I504*J504</f>
        <v>0</v>
      </c>
      <c r="BK504" s="46"/>
      <c r="BL504" s="46">
        <v>89</v>
      </c>
    </row>
    <row r="505" spans="1:15" ht="15" customHeight="1">
      <c r="A505" s="10"/>
      <c r="D505" s="32" t="s">
        <v>1311</v>
      </c>
      <c r="G505" s="32" t="s">
        <v>1163</v>
      </c>
      <c r="I505" s="58">
        <v>100.50000000000001</v>
      </c>
      <c r="O505" s="30"/>
    </row>
    <row r="506" spans="1:64" ht="15" customHeight="1">
      <c r="A506" s="52" t="s">
        <v>561</v>
      </c>
      <c r="B506" s="43" t="s">
        <v>323</v>
      </c>
      <c r="C506" s="43" t="s">
        <v>769</v>
      </c>
      <c r="D506" s="61" t="s">
        <v>646</v>
      </c>
      <c r="E506" s="61"/>
      <c r="F506" s="61"/>
      <c r="G506" s="61"/>
      <c r="H506" s="43" t="s">
        <v>1780</v>
      </c>
      <c r="I506" s="46">
        <v>6</v>
      </c>
      <c r="J506" s="46">
        <v>0</v>
      </c>
      <c r="K506" s="46">
        <f>I506*AO506</f>
        <v>0</v>
      </c>
      <c r="L506" s="46">
        <f>I506*AP506</f>
        <v>0</v>
      </c>
      <c r="M506" s="46">
        <f>I506*J506</f>
        <v>0</v>
      </c>
      <c r="N506" s="46">
        <v>0.00071</v>
      </c>
      <c r="O506" s="6" t="s">
        <v>1149</v>
      </c>
      <c r="Z506" s="46">
        <f>IF(AQ506="5",BJ506,0)</f>
        <v>0</v>
      </c>
      <c r="AB506" s="46">
        <f>IF(AQ506="1",BH506,0)</f>
        <v>0</v>
      </c>
      <c r="AC506" s="46">
        <f>IF(AQ506="1",BI506,0)</f>
        <v>0</v>
      </c>
      <c r="AD506" s="46">
        <f>IF(AQ506="7",BH506,0)</f>
        <v>0</v>
      </c>
      <c r="AE506" s="46">
        <f>IF(AQ506="7",BI506,0)</f>
        <v>0</v>
      </c>
      <c r="AF506" s="46">
        <f>IF(AQ506="2",BH506,0)</f>
        <v>0</v>
      </c>
      <c r="AG506" s="46">
        <f>IF(AQ506="2",BI506,0)</f>
        <v>0</v>
      </c>
      <c r="AH506" s="46">
        <f>IF(AQ506="0",BJ506,0)</f>
        <v>0</v>
      </c>
      <c r="AI506" s="1" t="s">
        <v>323</v>
      </c>
      <c r="AJ506" s="46">
        <f>IF(AN506=0,M506,0)</f>
        <v>0</v>
      </c>
      <c r="AK506" s="46">
        <f>IF(AN506=15,M506,0)</f>
        <v>0</v>
      </c>
      <c r="AL506" s="46">
        <f>IF(AN506=21,M506,0)</f>
        <v>0</v>
      </c>
      <c r="AN506" s="46">
        <v>21</v>
      </c>
      <c r="AO506" s="46">
        <f>J506*0.168811079190905</f>
        <v>0</v>
      </c>
      <c r="AP506" s="46">
        <f>J506*(1-0.168811079190905)</f>
        <v>0</v>
      </c>
      <c r="AQ506" s="42" t="s">
        <v>1648</v>
      </c>
      <c r="AV506" s="46">
        <f>AW506+AX506</f>
        <v>0</v>
      </c>
      <c r="AW506" s="46">
        <f>I506*AO506</f>
        <v>0</v>
      </c>
      <c r="AX506" s="46">
        <f>I506*AP506</f>
        <v>0</v>
      </c>
      <c r="AY506" s="42" t="s">
        <v>132</v>
      </c>
      <c r="AZ506" s="42" t="s">
        <v>1166</v>
      </c>
      <c r="BA506" s="1" t="s">
        <v>1213</v>
      </c>
      <c r="BC506" s="46">
        <f>AW506+AX506</f>
        <v>0</v>
      </c>
      <c r="BD506" s="46">
        <f>J506/(100-BE506)*100</f>
        <v>0</v>
      </c>
      <c r="BE506" s="46">
        <v>0</v>
      </c>
      <c r="BF506" s="46">
        <f>506</f>
        <v>506</v>
      </c>
      <c r="BH506" s="46">
        <f>I506*AO506</f>
        <v>0</v>
      </c>
      <c r="BI506" s="46">
        <f>I506*AP506</f>
        <v>0</v>
      </c>
      <c r="BJ506" s="46">
        <f>I506*J506</f>
        <v>0</v>
      </c>
      <c r="BK506" s="46"/>
      <c r="BL506" s="46">
        <v>89</v>
      </c>
    </row>
    <row r="507" spans="1:64" ht="15" customHeight="1">
      <c r="A507" s="52" t="s">
        <v>1100</v>
      </c>
      <c r="B507" s="43" t="s">
        <v>323</v>
      </c>
      <c r="C507" s="43" t="s">
        <v>883</v>
      </c>
      <c r="D507" s="61" t="s">
        <v>429</v>
      </c>
      <c r="E507" s="61"/>
      <c r="F507" s="61"/>
      <c r="G507" s="61"/>
      <c r="H507" s="43" t="s">
        <v>322</v>
      </c>
      <c r="I507" s="46">
        <v>43</v>
      </c>
      <c r="J507" s="46">
        <v>0</v>
      </c>
      <c r="K507" s="46">
        <f>I507*AO507</f>
        <v>0</v>
      </c>
      <c r="L507" s="46">
        <f>I507*AP507</f>
        <v>0</v>
      </c>
      <c r="M507" s="46">
        <f>I507*J507</f>
        <v>0</v>
      </c>
      <c r="N507" s="46">
        <v>2E-05</v>
      </c>
      <c r="O507" s="6" t="s">
        <v>1149</v>
      </c>
      <c r="Z507" s="46">
        <f>IF(AQ507="5",BJ507,0)</f>
        <v>0</v>
      </c>
      <c r="AB507" s="46">
        <f>IF(AQ507="1",BH507,0)</f>
        <v>0</v>
      </c>
      <c r="AC507" s="46">
        <f>IF(AQ507="1",BI507,0)</f>
        <v>0</v>
      </c>
      <c r="AD507" s="46">
        <f>IF(AQ507="7",BH507,0)</f>
        <v>0</v>
      </c>
      <c r="AE507" s="46">
        <f>IF(AQ507="7",BI507,0)</f>
        <v>0</v>
      </c>
      <c r="AF507" s="46">
        <f>IF(AQ507="2",BH507,0)</f>
        <v>0</v>
      </c>
      <c r="AG507" s="46">
        <f>IF(AQ507="2",BI507,0)</f>
        <v>0</v>
      </c>
      <c r="AH507" s="46">
        <f>IF(AQ507="0",BJ507,0)</f>
        <v>0</v>
      </c>
      <c r="AI507" s="1" t="s">
        <v>323</v>
      </c>
      <c r="AJ507" s="46">
        <f>IF(AN507=0,M507,0)</f>
        <v>0</v>
      </c>
      <c r="AK507" s="46">
        <f>IF(AN507=15,M507,0)</f>
        <v>0</v>
      </c>
      <c r="AL507" s="46">
        <f>IF(AN507=21,M507,0)</f>
        <v>0</v>
      </c>
      <c r="AN507" s="46">
        <v>21</v>
      </c>
      <c r="AO507" s="46">
        <f>J507*0.33300395256917</f>
        <v>0</v>
      </c>
      <c r="AP507" s="46">
        <f>J507*(1-0.33300395256917)</f>
        <v>0</v>
      </c>
      <c r="AQ507" s="42" t="s">
        <v>1648</v>
      </c>
      <c r="AV507" s="46">
        <f>AW507+AX507</f>
        <v>0</v>
      </c>
      <c r="AW507" s="46">
        <f>I507*AO507</f>
        <v>0</v>
      </c>
      <c r="AX507" s="46">
        <f>I507*AP507</f>
        <v>0</v>
      </c>
      <c r="AY507" s="42" t="s">
        <v>132</v>
      </c>
      <c r="AZ507" s="42" t="s">
        <v>1166</v>
      </c>
      <c r="BA507" s="1" t="s">
        <v>1213</v>
      </c>
      <c r="BC507" s="46">
        <f>AW507+AX507</f>
        <v>0</v>
      </c>
      <c r="BD507" s="46">
        <f>J507/(100-BE507)*100</f>
        <v>0</v>
      </c>
      <c r="BE507" s="46">
        <v>0</v>
      </c>
      <c r="BF507" s="46">
        <f>507</f>
        <v>507</v>
      </c>
      <c r="BH507" s="46">
        <f>I507*AO507</f>
        <v>0</v>
      </c>
      <c r="BI507" s="46">
        <f>I507*AP507</f>
        <v>0</v>
      </c>
      <c r="BJ507" s="46">
        <f>I507*J507</f>
        <v>0</v>
      </c>
      <c r="BK507" s="46"/>
      <c r="BL507" s="46">
        <v>89</v>
      </c>
    </row>
    <row r="508" spans="1:47" ht="15" customHeight="1">
      <c r="A508" s="3" t="s">
        <v>1163</v>
      </c>
      <c r="B508" s="9" t="s">
        <v>323</v>
      </c>
      <c r="C508" s="9" t="s">
        <v>74</v>
      </c>
      <c r="D508" s="64" t="s">
        <v>588</v>
      </c>
      <c r="E508" s="64"/>
      <c r="F508" s="64"/>
      <c r="G508" s="64"/>
      <c r="H508" s="41" t="s">
        <v>1537</v>
      </c>
      <c r="I508" s="41" t="s">
        <v>1537</v>
      </c>
      <c r="J508" s="41" t="s">
        <v>1537</v>
      </c>
      <c r="K508" s="50">
        <f>SUM(K509:K512)</f>
        <v>0</v>
      </c>
      <c r="L508" s="50">
        <f>SUM(L509:L512)</f>
        <v>0</v>
      </c>
      <c r="M508" s="50">
        <f>SUM(M509:M512)</f>
        <v>0</v>
      </c>
      <c r="N508" s="1" t="s">
        <v>1163</v>
      </c>
      <c r="O508" s="45" t="s">
        <v>1163</v>
      </c>
      <c r="AI508" s="1" t="s">
        <v>323</v>
      </c>
      <c r="AS508" s="50">
        <f>SUM(AJ509:AJ512)</f>
        <v>0</v>
      </c>
      <c r="AT508" s="50">
        <f>SUM(AK509:AK512)</f>
        <v>0</v>
      </c>
      <c r="AU508" s="50">
        <f>SUM(AL509:AL512)</f>
        <v>0</v>
      </c>
    </row>
    <row r="509" spans="1:64" ht="15" customHeight="1">
      <c r="A509" s="52" t="s">
        <v>264</v>
      </c>
      <c r="B509" s="43" t="s">
        <v>323</v>
      </c>
      <c r="C509" s="43" t="s">
        <v>27</v>
      </c>
      <c r="D509" s="61" t="s">
        <v>1691</v>
      </c>
      <c r="E509" s="61"/>
      <c r="F509" s="61"/>
      <c r="G509" s="61"/>
      <c r="H509" s="43" t="s">
        <v>1365</v>
      </c>
      <c r="I509" s="46">
        <v>554.2</v>
      </c>
      <c r="J509" s="46">
        <v>0</v>
      </c>
      <c r="K509" s="46">
        <f>I509*AO509</f>
        <v>0</v>
      </c>
      <c r="L509" s="46">
        <f>I509*AP509</f>
        <v>0</v>
      </c>
      <c r="M509" s="46">
        <f>I509*J509</f>
        <v>0</v>
      </c>
      <c r="N509" s="46">
        <v>0</v>
      </c>
      <c r="O509" s="6" t="s">
        <v>1149</v>
      </c>
      <c r="Z509" s="46">
        <f>IF(AQ509="5",BJ509,0)</f>
        <v>0</v>
      </c>
      <c r="AB509" s="46">
        <f>IF(AQ509="1",BH509,0)</f>
        <v>0</v>
      </c>
      <c r="AC509" s="46">
        <f>IF(AQ509="1",BI509,0)</f>
        <v>0</v>
      </c>
      <c r="AD509" s="46">
        <f>IF(AQ509="7",BH509,0)</f>
        <v>0</v>
      </c>
      <c r="AE509" s="46">
        <f>IF(AQ509="7",BI509,0)</f>
        <v>0</v>
      </c>
      <c r="AF509" s="46">
        <f>IF(AQ509="2",BH509,0)</f>
        <v>0</v>
      </c>
      <c r="AG509" s="46">
        <f>IF(AQ509="2",BI509,0)</f>
        <v>0</v>
      </c>
      <c r="AH509" s="46">
        <f>IF(AQ509="0",BJ509,0)</f>
        <v>0</v>
      </c>
      <c r="AI509" s="1" t="s">
        <v>323</v>
      </c>
      <c r="AJ509" s="46">
        <f>IF(AN509=0,M509,0)</f>
        <v>0</v>
      </c>
      <c r="AK509" s="46">
        <f>IF(AN509=15,M509,0)</f>
        <v>0</v>
      </c>
      <c r="AL509" s="46">
        <f>IF(AN509=21,M509,0)</f>
        <v>0</v>
      </c>
      <c r="AN509" s="46">
        <v>21</v>
      </c>
      <c r="AO509" s="46">
        <f>J509*0.563818183637595</f>
        <v>0</v>
      </c>
      <c r="AP509" s="46">
        <f>J509*(1-0.563818183637595)</f>
        <v>0</v>
      </c>
      <c r="AQ509" s="42" t="s">
        <v>1648</v>
      </c>
      <c r="AV509" s="46">
        <f>AW509+AX509</f>
        <v>0</v>
      </c>
      <c r="AW509" s="46">
        <f>I509*AO509</f>
        <v>0</v>
      </c>
      <c r="AX509" s="46">
        <f>I509*AP509</f>
        <v>0</v>
      </c>
      <c r="AY509" s="42" t="s">
        <v>1616</v>
      </c>
      <c r="AZ509" s="42" t="s">
        <v>1076</v>
      </c>
      <c r="BA509" s="1" t="s">
        <v>1213</v>
      </c>
      <c r="BC509" s="46">
        <f>AW509+AX509</f>
        <v>0</v>
      </c>
      <c r="BD509" s="46">
        <f>J509/(100-BE509)*100</f>
        <v>0</v>
      </c>
      <c r="BE509" s="46">
        <v>0</v>
      </c>
      <c r="BF509" s="46">
        <f>509</f>
        <v>509</v>
      </c>
      <c r="BH509" s="46">
        <f>I509*AO509</f>
        <v>0</v>
      </c>
      <c r="BI509" s="46">
        <f>I509*AP509</f>
        <v>0</v>
      </c>
      <c r="BJ509" s="46">
        <f>I509*J509</f>
        <v>0</v>
      </c>
      <c r="BK509" s="46"/>
      <c r="BL509" s="46">
        <v>91</v>
      </c>
    </row>
    <row r="510" spans="1:15" ht="15" customHeight="1">
      <c r="A510" s="10"/>
      <c r="D510" s="32" t="s">
        <v>230</v>
      </c>
      <c r="G510" s="32" t="s">
        <v>278</v>
      </c>
      <c r="I510" s="58">
        <v>104.00000000000001</v>
      </c>
      <c r="O510" s="30"/>
    </row>
    <row r="511" spans="1:15" ht="15" customHeight="1">
      <c r="A511" s="10"/>
      <c r="D511" s="32" t="s">
        <v>1622</v>
      </c>
      <c r="G511" s="32" t="s">
        <v>1408</v>
      </c>
      <c r="I511" s="58">
        <v>450.20000000000005</v>
      </c>
      <c r="O511" s="30"/>
    </row>
    <row r="512" spans="1:64" ht="15" customHeight="1">
      <c r="A512" s="52" t="s">
        <v>594</v>
      </c>
      <c r="B512" s="43" t="s">
        <v>323</v>
      </c>
      <c r="C512" s="43" t="s">
        <v>930</v>
      </c>
      <c r="D512" s="61" t="s">
        <v>1211</v>
      </c>
      <c r="E512" s="61"/>
      <c r="F512" s="61"/>
      <c r="G512" s="61"/>
      <c r="H512" s="43" t="s">
        <v>1365</v>
      </c>
      <c r="I512" s="46">
        <v>52</v>
      </c>
      <c r="J512" s="46">
        <v>0</v>
      </c>
      <c r="K512" s="46">
        <f>I512*AO512</f>
        <v>0</v>
      </c>
      <c r="L512" s="46">
        <f>I512*AP512</f>
        <v>0</v>
      </c>
      <c r="M512" s="46">
        <f>I512*J512</f>
        <v>0</v>
      </c>
      <c r="N512" s="46">
        <v>0.0001</v>
      </c>
      <c r="O512" s="6" t="s">
        <v>1149</v>
      </c>
      <c r="Z512" s="46">
        <f>IF(AQ512="5",BJ512,0)</f>
        <v>0</v>
      </c>
      <c r="AB512" s="46">
        <f>IF(AQ512="1",BH512,0)</f>
        <v>0</v>
      </c>
      <c r="AC512" s="46">
        <f>IF(AQ512="1",BI512,0)</f>
        <v>0</v>
      </c>
      <c r="AD512" s="46">
        <f>IF(AQ512="7",BH512,0)</f>
        <v>0</v>
      </c>
      <c r="AE512" s="46">
        <f>IF(AQ512="7",BI512,0)</f>
        <v>0</v>
      </c>
      <c r="AF512" s="46">
        <f>IF(AQ512="2",BH512,0)</f>
        <v>0</v>
      </c>
      <c r="AG512" s="46">
        <f>IF(AQ512="2",BI512,0)</f>
        <v>0</v>
      </c>
      <c r="AH512" s="46">
        <f>IF(AQ512="0",BJ512,0)</f>
        <v>0</v>
      </c>
      <c r="AI512" s="1" t="s">
        <v>323</v>
      </c>
      <c r="AJ512" s="46">
        <f>IF(AN512=0,M512,0)</f>
        <v>0</v>
      </c>
      <c r="AK512" s="46">
        <f>IF(AN512=15,M512,0)</f>
        <v>0</v>
      </c>
      <c r="AL512" s="46">
        <f>IF(AN512=21,M512,0)</f>
        <v>0</v>
      </c>
      <c r="AN512" s="46">
        <v>21</v>
      </c>
      <c r="AO512" s="46">
        <f>J512*0.104916462063597</f>
        <v>0</v>
      </c>
      <c r="AP512" s="46">
        <f>J512*(1-0.104916462063597)</f>
        <v>0</v>
      </c>
      <c r="AQ512" s="42" t="s">
        <v>1648</v>
      </c>
      <c r="AV512" s="46">
        <f>AW512+AX512</f>
        <v>0</v>
      </c>
      <c r="AW512" s="46">
        <f>I512*AO512</f>
        <v>0</v>
      </c>
      <c r="AX512" s="46">
        <f>I512*AP512</f>
        <v>0</v>
      </c>
      <c r="AY512" s="42" t="s">
        <v>1616</v>
      </c>
      <c r="AZ512" s="42" t="s">
        <v>1076</v>
      </c>
      <c r="BA512" s="1" t="s">
        <v>1213</v>
      </c>
      <c r="BC512" s="46">
        <f>AW512+AX512</f>
        <v>0</v>
      </c>
      <c r="BD512" s="46">
        <f>J512/(100-BE512)*100</f>
        <v>0</v>
      </c>
      <c r="BE512" s="46">
        <v>0</v>
      </c>
      <c r="BF512" s="46">
        <f>512</f>
        <v>512</v>
      </c>
      <c r="BH512" s="46">
        <f>I512*AO512</f>
        <v>0</v>
      </c>
      <c r="BI512" s="46">
        <f>I512*AP512</f>
        <v>0</v>
      </c>
      <c r="BJ512" s="46">
        <f>I512*J512</f>
        <v>0</v>
      </c>
      <c r="BK512" s="46"/>
      <c r="BL512" s="46">
        <v>91</v>
      </c>
    </row>
    <row r="513" spans="1:15" ht="15" customHeight="1">
      <c r="A513" s="10"/>
      <c r="D513" s="32" t="s">
        <v>679</v>
      </c>
      <c r="G513" s="32" t="s">
        <v>91</v>
      </c>
      <c r="I513" s="58">
        <v>52.00000000000001</v>
      </c>
      <c r="O513" s="30"/>
    </row>
    <row r="514" spans="1:47" ht="15" customHeight="1">
      <c r="A514" s="3" t="s">
        <v>1163</v>
      </c>
      <c r="B514" s="9" t="s">
        <v>323</v>
      </c>
      <c r="C514" s="9" t="s">
        <v>1511</v>
      </c>
      <c r="D514" s="64" t="s">
        <v>633</v>
      </c>
      <c r="E514" s="64"/>
      <c r="F514" s="64"/>
      <c r="G514" s="64"/>
      <c r="H514" s="41" t="s">
        <v>1537</v>
      </c>
      <c r="I514" s="41" t="s">
        <v>1537</v>
      </c>
      <c r="J514" s="41" t="s">
        <v>1537</v>
      </c>
      <c r="K514" s="50">
        <f>SUM(K515:K515)</f>
        <v>0</v>
      </c>
      <c r="L514" s="50">
        <f>SUM(L515:L515)</f>
        <v>0</v>
      </c>
      <c r="M514" s="50">
        <f>SUM(M515:M515)</f>
        <v>0</v>
      </c>
      <c r="N514" s="1" t="s">
        <v>1163</v>
      </c>
      <c r="O514" s="45" t="s">
        <v>1163</v>
      </c>
      <c r="AI514" s="1" t="s">
        <v>323</v>
      </c>
      <c r="AS514" s="50">
        <f>SUM(AJ515:AJ515)</f>
        <v>0</v>
      </c>
      <c r="AT514" s="50">
        <f>SUM(AK515:AK515)</f>
        <v>0</v>
      </c>
      <c r="AU514" s="50">
        <f>SUM(AL515:AL515)</f>
        <v>0</v>
      </c>
    </row>
    <row r="515" spans="1:64" ht="15" customHeight="1">
      <c r="A515" s="52" t="s">
        <v>1376</v>
      </c>
      <c r="B515" s="43" t="s">
        <v>323</v>
      </c>
      <c r="C515" s="43" t="s">
        <v>1078</v>
      </c>
      <c r="D515" s="61" t="s">
        <v>798</v>
      </c>
      <c r="E515" s="61"/>
      <c r="F515" s="61"/>
      <c r="G515" s="61"/>
      <c r="H515" s="43" t="s">
        <v>1604</v>
      </c>
      <c r="I515" s="46">
        <v>117.76995</v>
      </c>
      <c r="J515" s="46">
        <v>0</v>
      </c>
      <c r="K515" s="46">
        <f>I515*AO515</f>
        <v>0</v>
      </c>
      <c r="L515" s="46">
        <f>I515*AP515</f>
        <v>0</v>
      </c>
      <c r="M515" s="46">
        <f>I515*J515</f>
        <v>0</v>
      </c>
      <c r="N515" s="46">
        <v>1.8051</v>
      </c>
      <c r="O515" s="6" t="s">
        <v>1149</v>
      </c>
      <c r="Z515" s="46">
        <f>IF(AQ515="5",BJ515,0)</f>
        <v>0</v>
      </c>
      <c r="AB515" s="46">
        <f>IF(AQ515="1",BH515,0)</f>
        <v>0</v>
      </c>
      <c r="AC515" s="46">
        <f>IF(AQ515="1",BI515,0)</f>
        <v>0</v>
      </c>
      <c r="AD515" s="46">
        <f>IF(AQ515="7",BH515,0)</f>
        <v>0</v>
      </c>
      <c r="AE515" s="46">
        <f>IF(AQ515="7",BI515,0)</f>
        <v>0</v>
      </c>
      <c r="AF515" s="46">
        <f>IF(AQ515="2",BH515,0)</f>
        <v>0</v>
      </c>
      <c r="AG515" s="46">
        <f>IF(AQ515="2",BI515,0)</f>
        <v>0</v>
      </c>
      <c r="AH515" s="46">
        <f>IF(AQ515="0",BJ515,0)</f>
        <v>0</v>
      </c>
      <c r="AI515" s="1" t="s">
        <v>323</v>
      </c>
      <c r="AJ515" s="46">
        <f>IF(AN515=0,M515,0)</f>
        <v>0</v>
      </c>
      <c r="AK515" s="46">
        <f>IF(AN515=15,M515,0)</f>
        <v>0</v>
      </c>
      <c r="AL515" s="46">
        <f>IF(AN515=21,M515,0)</f>
        <v>0</v>
      </c>
      <c r="AN515" s="46">
        <v>21</v>
      </c>
      <c r="AO515" s="46">
        <f>J515*0.583298526558953</f>
        <v>0</v>
      </c>
      <c r="AP515" s="46">
        <f>J515*(1-0.583298526558953)</f>
        <v>0</v>
      </c>
      <c r="AQ515" s="42" t="s">
        <v>1648</v>
      </c>
      <c r="AV515" s="46">
        <f>AW515+AX515</f>
        <v>0</v>
      </c>
      <c r="AW515" s="46">
        <f>I515*AO515</f>
        <v>0</v>
      </c>
      <c r="AX515" s="46">
        <f>I515*AP515</f>
        <v>0</v>
      </c>
      <c r="AY515" s="42" t="s">
        <v>1693</v>
      </c>
      <c r="AZ515" s="42" t="s">
        <v>1076</v>
      </c>
      <c r="BA515" s="1" t="s">
        <v>1213</v>
      </c>
      <c r="BC515" s="46">
        <f>AW515+AX515</f>
        <v>0</v>
      </c>
      <c r="BD515" s="46">
        <f>J515/(100-BE515)*100</f>
        <v>0</v>
      </c>
      <c r="BE515" s="46">
        <v>0</v>
      </c>
      <c r="BF515" s="46">
        <f>515</f>
        <v>515</v>
      </c>
      <c r="BH515" s="46">
        <f>I515*AO515</f>
        <v>0</v>
      </c>
      <c r="BI515" s="46">
        <f>I515*AP515</f>
        <v>0</v>
      </c>
      <c r="BJ515" s="46">
        <f>I515*J515</f>
        <v>0</v>
      </c>
      <c r="BK515" s="46"/>
      <c r="BL515" s="46">
        <v>93</v>
      </c>
    </row>
    <row r="516" spans="1:15" ht="15" customHeight="1">
      <c r="A516" s="10"/>
      <c r="D516" s="32" t="s">
        <v>166</v>
      </c>
      <c r="G516" s="32" t="s">
        <v>1512</v>
      </c>
      <c r="I516" s="58">
        <v>68.04</v>
      </c>
      <c r="O516" s="30"/>
    </row>
    <row r="517" spans="1:15" ht="15" customHeight="1">
      <c r="A517" s="10"/>
      <c r="D517" s="32" t="s">
        <v>1074</v>
      </c>
      <c r="G517" s="32" t="s">
        <v>1862</v>
      </c>
      <c r="I517" s="58">
        <v>5.906020000000001</v>
      </c>
      <c r="O517" s="30"/>
    </row>
    <row r="518" spans="1:15" ht="15" customHeight="1">
      <c r="A518" s="10"/>
      <c r="D518" s="32" t="s">
        <v>1351</v>
      </c>
      <c r="G518" s="32" t="s">
        <v>1402</v>
      </c>
      <c r="I518" s="58">
        <v>43.823930000000004</v>
      </c>
      <c r="O518" s="30"/>
    </row>
    <row r="519" spans="1:47" ht="15" customHeight="1">
      <c r="A519" s="3" t="s">
        <v>1163</v>
      </c>
      <c r="B519" s="9" t="s">
        <v>323</v>
      </c>
      <c r="C519" s="9" t="s">
        <v>1751</v>
      </c>
      <c r="D519" s="64" t="s">
        <v>1229</v>
      </c>
      <c r="E519" s="64"/>
      <c r="F519" s="64"/>
      <c r="G519" s="64"/>
      <c r="H519" s="41" t="s">
        <v>1537</v>
      </c>
      <c r="I519" s="41" t="s">
        <v>1537</v>
      </c>
      <c r="J519" s="41" t="s">
        <v>1537</v>
      </c>
      <c r="K519" s="50">
        <f>SUM(K520:K531)</f>
        <v>0</v>
      </c>
      <c r="L519" s="50">
        <f>SUM(L520:L531)</f>
        <v>0</v>
      </c>
      <c r="M519" s="50">
        <f>SUM(M520:M531)</f>
        <v>0</v>
      </c>
      <c r="N519" s="1" t="s">
        <v>1163</v>
      </c>
      <c r="O519" s="45" t="s">
        <v>1163</v>
      </c>
      <c r="AI519" s="1" t="s">
        <v>323</v>
      </c>
      <c r="AS519" s="50">
        <f>SUM(AJ520:AJ531)</f>
        <v>0</v>
      </c>
      <c r="AT519" s="50">
        <f>SUM(AK520:AK531)</f>
        <v>0</v>
      </c>
      <c r="AU519" s="50">
        <f>SUM(AL520:AL531)</f>
        <v>0</v>
      </c>
    </row>
    <row r="520" spans="1:64" ht="15" customHeight="1">
      <c r="A520" s="52" t="s">
        <v>32</v>
      </c>
      <c r="B520" s="43" t="s">
        <v>323</v>
      </c>
      <c r="C520" s="43" t="s">
        <v>943</v>
      </c>
      <c r="D520" s="61" t="s">
        <v>1403</v>
      </c>
      <c r="E520" s="61"/>
      <c r="F520" s="61"/>
      <c r="G520" s="61"/>
      <c r="H520" s="43" t="s">
        <v>1365</v>
      </c>
      <c r="I520" s="46">
        <v>10</v>
      </c>
      <c r="J520" s="46">
        <v>0</v>
      </c>
      <c r="K520" s="46">
        <f>I520*AO520</f>
        <v>0</v>
      </c>
      <c r="L520" s="46">
        <f>I520*AP520</f>
        <v>0</v>
      </c>
      <c r="M520" s="46">
        <f>I520*J520</f>
        <v>0</v>
      </c>
      <c r="N520" s="46">
        <v>0.02712</v>
      </c>
      <c r="O520" s="6" t="s">
        <v>1149</v>
      </c>
      <c r="Z520" s="46">
        <f>IF(AQ520="5",BJ520,0)</f>
        <v>0</v>
      </c>
      <c r="AB520" s="46">
        <f>IF(AQ520="1",BH520,0)</f>
        <v>0</v>
      </c>
      <c r="AC520" s="46">
        <f>IF(AQ520="1",BI520,0)</f>
        <v>0</v>
      </c>
      <c r="AD520" s="46">
        <f>IF(AQ520="7",BH520,0)</f>
        <v>0</v>
      </c>
      <c r="AE520" s="46">
        <f>IF(AQ520="7",BI520,0)</f>
        <v>0</v>
      </c>
      <c r="AF520" s="46">
        <f>IF(AQ520="2",BH520,0)</f>
        <v>0</v>
      </c>
      <c r="AG520" s="46">
        <f>IF(AQ520="2",BI520,0)</f>
        <v>0</v>
      </c>
      <c r="AH520" s="46">
        <f>IF(AQ520="0",BJ520,0)</f>
        <v>0</v>
      </c>
      <c r="AI520" s="1" t="s">
        <v>323</v>
      </c>
      <c r="AJ520" s="46">
        <f>IF(AN520=0,M520,0)</f>
        <v>0</v>
      </c>
      <c r="AK520" s="46">
        <f>IF(AN520=15,M520,0)</f>
        <v>0</v>
      </c>
      <c r="AL520" s="46">
        <f>IF(AN520=21,M520,0)</f>
        <v>0</v>
      </c>
      <c r="AN520" s="46">
        <v>21</v>
      </c>
      <c r="AO520" s="46">
        <f>J520*0.285292190060076</f>
        <v>0</v>
      </c>
      <c r="AP520" s="46">
        <f>J520*(1-0.285292190060076)</f>
        <v>0</v>
      </c>
      <c r="AQ520" s="42" t="s">
        <v>1157</v>
      </c>
      <c r="AV520" s="46">
        <f>AW520+AX520</f>
        <v>0</v>
      </c>
      <c r="AW520" s="46">
        <f>I520*AO520</f>
        <v>0</v>
      </c>
      <c r="AX520" s="46">
        <f>I520*AP520</f>
        <v>0</v>
      </c>
      <c r="AY520" s="42" t="s">
        <v>1538</v>
      </c>
      <c r="AZ520" s="42" t="s">
        <v>1076</v>
      </c>
      <c r="BA520" s="1" t="s">
        <v>1213</v>
      </c>
      <c r="BC520" s="46">
        <f>AW520+AX520</f>
        <v>0</v>
      </c>
      <c r="BD520" s="46">
        <f>J520/(100-BE520)*100</f>
        <v>0</v>
      </c>
      <c r="BE520" s="46">
        <v>0</v>
      </c>
      <c r="BF520" s="46">
        <f>520</f>
        <v>520</v>
      </c>
      <c r="BH520" s="46">
        <f>I520*AO520</f>
        <v>0</v>
      </c>
      <c r="BI520" s="46">
        <f>I520*AP520</f>
        <v>0</v>
      </c>
      <c r="BJ520" s="46">
        <f>I520*J520</f>
        <v>0</v>
      </c>
      <c r="BK520" s="46"/>
      <c r="BL520" s="46"/>
    </row>
    <row r="521" spans="1:15" ht="15" customHeight="1">
      <c r="A521" s="10"/>
      <c r="D521" s="32" t="s">
        <v>1554</v>
      </c>
      <c r="G521" s="32" t="s">
        <v>1163</v>
      </c>
      <c r="I521" s="58">
        <v>10</v>
      </c>
      <c r="O521" s="30"/>
    </row>
    <row r="522" spans="1:64" ht="15" customHeight="1">
      <c r="A522" s="52" t="s">
        <v>699</v>
      </c>
      <c r="B522" s="43" t="s">
        <v>323</v>
      </c>
      <c r="C522" s="43" t="s">
        <v>1427</v>
      </c>
      <c r="D522" s="61" t="s">
        <v>1363</v>
      </c>
      <c r="E522" s="61"/>
      <c r="F522" s="61"/>
      <c r="G522" s="61"/>
      <c r="H522" s="43" t="s">
        <v>392</v>
      </c>
      <c r="I522" s="46">
        <v>4</v>
      </c>
      <c r="J522" s="46">
        <v>0</v>
      </c>
      <c r="K522" s="46">
        <f>I522*AO522</f>
        <v>0</v>
      </c>
      <c r="L522" s="46">
        <f>I522*AP522</f>
        <v>0</v>
      </c>
      <c r="M522" s="46">
        <f>I522*J522</f>
        <v>0</v>
      </c>
      <c r="N522" s="46">
        <v>0</v>
      </c>
      <c r="O522" s="6" t="s">
        <v>1149</v>
      </c>
      <c r="Z522" s="46">
        <f>IF(AQ522="5",BJ522,0)</f>
        <v>0</v>
      </c>
      <c r="AB522" s="46">
        <f>IF(AQ522="1",BH522,0)</f>
        <v>0</v>
      </c>
      <c r="AC522" s="46">
        <f>IF(AQ522="1",BI522,0)</f>
        <v>0</v>
      </c>
      <c r="AD522" s="46">
        <f>IF(AQ522="7",BH522,0)</f>
        <v>0</v>
      </c>
      <c r="AE522" s="46">
        <f>IF(AQ522="7",BI522,0)</f>
        <v>0</v>
      </c>
      <c r="AF522" s="46">
        <f>IF(AQ522="2",BH522,0)</f>
        <v>0</v>
      </c>
      <c r="AG522" s="46">
        <f>IF(AQ522="2",BI522,0)</f>
        <v>0</v>
      </c>
      <c r="AH522" s="46">
        <f>IF(AQ522="0",BJ522,0)</f>
        <v>0</v>
      </c>
      <c r="AI522" s="1" t="s">
        <v>323</v>
      </c>
      <c r="AJ522" s="46">
        <f>IF(AN522=0,M522,0)</f>
        <v>0</v>
      </c>
      <c r="AK522" s="46">
        <f>IF(AN522=15,M522,0)</f>
        <v>0</v>
      </c>
      <c r="AL522" s="46">
        <f>IF(AN522=21,M522,0)</f>
        <v>0</v>
      </c>
      <c r="AN522" s="46">
        <v>21</v>
      </c>
      <c r="AO522" s="46">
        <f>J522*0</f>
        <v>0</v>
      </c>
      <c r="AP522" s="46">
        <f>J522*(1-0)</f>
        <v>0</v>
      </c>
      <c r="AQ522" s="42" t="s">
        <v>1157</v>
      </c>
      <c r="AV522" s="46">
        <f>AW522+AX522</f>
        <v>0</v>
      </c>
      <c r="AW522" s="46">
        <f>I522*AO522</f>
        <v>0</v>
      </c>
      <c r="AX522" s="46">
        <f>I522*AP522</f>
        <v>0</v>
      </c>
      <c r="AY522" s="42" t="s">
        <v>1538</v>
      </c>
      <c r="AZ522" s="42" t="s">
        <v>1076</v>
      </c>
      <c r="BA522" s="1" t="s">
        <v>1213</v>
      </c>
      <c r="BC522" s="46">
        <f>AW522+AX522</f>
        <v>0</v>
      </c>
      <c r="BD522" s="46">
        <f>J522/(100-BE522)*100</f>
        <v>0</v>
      </c>
      <c r="BE522" s="46">
        <v>0</v>
      </c>
      <c r="BF522" s="46">
        <f>522</f>
        <v>522</v>
      </c>
      <c r="BH522" s="46">
        <f>I522*AO522</f>
        <v>0</v>
      </c>
      <c r="BI522" s="46">
        <f>I522*AP522</f>
        <v>0</v>
      </c>
      <c r="BJ522" s="46">
        <f>I522*J522</f>
        <v>0</v>
      </c>
      <c r="BK522" s="46"/>
      <c r="BL522" s="46"/>
    </row>
    <row r="523" spans="1:15" ht="15" customHeight="1">
      <c r="A523" s="10"/>
      <c r="D523" s="32" t="s">
        <v>1879</v>
      </c>
      <c r="G523" s="32" t="s">
        <v>1163</v>
      </c>
      <c r="I523" s="58">
        <v>4</v>
      </c>
      <c r="O523" s="30"/>
    </row>
    <row r="524" spans="1:64" ht="15" customHeight="1">
      <c r="A524" s="52" t="s">
        <v>68</v>
      </c>
      <c r="B524" s="43" t="s">
        <v>323</v>
      </c>
      <c r="C524" s="43" t="s">
        <v>682</v>
      </c>
      <c r="D524" s="61" t="s">
        <v>636</v>
      </c>
      <c r="E524" s="61"/>
      <c r="F524" s="61"/>
      <c r="G524" s="61"/>
      <c r="H524" s="43" t="s">
        <v>392</v>
      </c>
      <c r="I524" s="46">
        <v>4</v>
      </c>
      <c r="J524" s="46">
        <v>0</v>
      </c>
      <c r="K524" s="46">
        <f>I524*AO524</f>
        <v>0</v>
      </c>
      <c r="L524" s="46">
        <f>I524*AP524</f>
        <v>0</v>
      </c>
      <c r="M524" s="46">
        <f>I524*J524</f>
        <v>0</v>
      </c>
      <c r="N524" s="46">
        <v>0.002</v>
      </c>
      <c r="O524" s="6" t="s">
        <v>1149</v>
      </c>
      <c r="Z524" s="46">
        <f>IF(AQ524="5",BJ524,0)</f>
        <v>0</v>
      </c>
      <c r="AB524" s="46">
        <f>IF(AQ524="1",BH524,0)</f>
        <v>0</v>
      </c>
      <c r="AC524" s="46">
        <f>IF(AQ524="1",BI524,0)</f>
        <v>0</v>
      </c>
      <c r="AD524" s="46">
        <f>IF(AQ524="7",BH524,0)</f>
        <v>0</v>
      </c>
      <c r="AE524" s="46">
        <f>IF(AQ524="7",BI524,0)</f>
        <v>0</v>
      </c>
      <c r="AF524" s="46">
        <f>IF(AQ524="2",BH524,0)</f>
        <v>0</v>
      </c>
      <c r="AG524" s="46">
        <f>IF(AQ524="2",BI524,0)</f>
        <v>0</v>
      </c>
      <c r="AH524" s="46">
        <f>IF(AQ524="0",BJ524,0)</f>
        <v>0</v>
      </c>
      <c r="AI524" s="1" t="s">
        <v>323</v>
      </c>
      <c r="AJ524" s="46">
        <f>IF(AN524=0,M524,0)</f>
        <v>0</v>
      </c>
      <c r="AK524" s="46">
        <f>IF(AN524=15,M524,0)</f>
        <v>0</v>
      </c>
      <c r="AL524" s="46">
        <f>IF(AN524=21,M524,0)</f>
        <v>0</v>
      </c>
      <c r="AN524" s="46">
        <v>21</v>
      </c>
      <c r="AO524" s="46">
        <f>J524*1</f>
        <v>0</v>
      </c>
      <c r="AP524" s="46">
        <f>J524*(1-1)</f>
        <v>0</v>
      </c>
      <c r="AQ524" s="42" t="s">
        <v>1648</v>
      </c>
      <c r="AV524" s="46">
        <f>AW524+AX524</f>
        <v>0</v>
      </c>
      <c r="AW524" s="46">
        <f>I524*AO524</f>
        <v>0</v>
      </c>
      <c r="AX524" s="46">
        <f>I524*AP524</f>
        <v>0</v>
      </c>
      <c r="AY524" s="42" t="s">
        <v>1538</v>
      </c>
      <c r="AZ524" s="42" t="s">
        <v>1076</v>
      </c>
      <c r="BA524" s="1" t="s">
        <v>1213</v>
      </c>
      <c r="BC524" s="46">
        <f>AW524+AX524</f>
        <v>0</v>
      </c>
      <c r="BD524" s="46">
        <f>J524/(100-BE524)*100</f>
        <v>0</v>
      </c>
      <c r="BE524" s="46">
        <v>0</v>
      </c>
      <c r="BF524" s="46">
        <f>524</f>
        <v>524</v>
      </c>
      <c r="BH524" s="46">
        <f>I524*AO524</f>
        <v>0</v>
      </c>
      <c r="BI524" s="46">
        <f>I524*AP524</f>
        <v>0</v>
      </c>
      <c r="BJ524" s="46">
        <f>I524*J524</f>
        <v>0</v>
      </c>
      <c r="BK524" s="46"/>
      <c r="BL524" s="46"/>
    </row>
    <row r="525" spans="1:15" ht="15" customHeight="1">
      <c r="A525" s="10"/>
      <c r="D525" s="32" t="s">
        <v>1879</v>
      </c>
      <c r="G525" s="32" t="s">
        <v>1163</v>
      </c>
      <c r="I525" s="58">
        <v>4</v>
      </c>
      <c r="O525" s="30"/>
    </row>
    <row r="526" spans="1:64" ht="15" customHeight="1">
      <c r="A526" s="52" t="s">
        <v>306</v>
      </c>
      <c r="B526" s="43" t="s">
        <v>323</v>
      </c>
      <c r="C526" s="43" t="s">
        <v>622</v>
      </c>
      <c r="D526" s="61" t="s">
        <v>1792</v>
      </c>
      <c r="E526" s="61"/>
      <c r="F526" s="61"/>
      <c r="G526" s="61"/>
      <c r="H526" s="43" t="s">
        <v>392</v>
      </c>
      <c r="I526" s="46">
        <v>12</v>
      </c>
      <c r="J526" s="46">
        <v>0</v>
      </c>
      <c r="K526" s="46">
        <f>I526*AO526</f>
        <v>0</v>
      </c>
      <c r="L526" s="46">
        <f>I526*AP526</f>
        <v>0</v>
      </c>
      <c r="M526" s="46">
        <f>I526*J526</f>
        <v>0</v>
      </c>
      <c r="N526" s="46">
        <v>0</v>
      </c>
      <c r="O526" s="6" t="s">
        <v>1149</v>
      </c>
      <c r="Z526" s="46">
        <f>IF(AQ526="5",BJ526,0)</f>
        <v>0</v>
      </c>
      <c r="AB526" s="46">
        <f>IF(AQ526="1",BH526,0)</f>
        <v>0</v>
      </c>
      <c r="AC526" s="46">
        <f>IF(AQ526="1",BI526,0)</f>
        <v>0</v>
      </c>
      <c r="AD526" s="46">
        <f>IF(AQ526="7",BH526,0)</f>
        <v>0</v>
      </c>
      <c r="AE526" s="46">
        <f>IF(AQ526="7",BI526,0)</f>
        <v>0</v>
      </c>
      <c r="AF526" s="46">
        <f>IF(AQ526="2",BH526,0)</f>
        <v>0</v>
      </c>
      <c r="AG526" s="46">
        <f>IF(AQ526="2",BI526,0)</f>
        <v>0</v>
      </c>
      <c r="AH526" s="46">
        <f>IF(AQ526="0",BJ526,0)</f>
        <v>0</v>
      </c>
      <c r="AI526" s="1" t="s">
        <v>323</v>
      </c>
      <c r="AJ526" s="46">
        <f>IF(AN526=0,M526,0)</f>
        <v>0</v>
      </c>
      <c r="AK526" s="46">
        <f>IF(AN526=15,M526,0)</f>
        <v>0</v>
      </c>
      <c r="AL526" s="46">
        <f>IF(AN526=21,M526,0)</f>
        <v>0</v>
      </c>
      <c r="AN526" s="46">
        <v>21</v>
      </c>
      <c r="AO526" s="46">
        <f>J526*0</f>
        <v>0</v>
      </c>
      <c r="AP526" s="46">
        <f>J526*(1-0)</f>
        <v>0</v>
      </c>
      <c r="AQ526" s="42" t="s">
        <v>1157</v>
      </c>
      <c r="AV526" s="46">
        <f>AW526+AX526</f>
        <v>0</v>
      </c>
      <c r="AW526" s="46">
        <f>I526*AO526</f>
        <v>0</v>
      </c>
      <c r="AX526" s="46">
        <f>I526*AP526</f>
        <v>0</v>
      </c>
      <c r="AY526" s="42" t="s">
        <v>1538</v>
      </c>
      <c r="AZ526" s="42" t="s">
        <v>1076</v>
      </c>
      <c r="BA526" s="1" t="s">
        <v>1213</v>
      </c>
      <c r="BC526" s="46">
        <f>AW526+AX526</f>
        <v>0</v>
      </c>
      <c r="BD526" s="46">
        <f>J526/(100-BE526)*100</f>
        <v>0</v>
      </c>
      <c r="BE526" s="46">
        <v>0</v>
      </c>
      <c r="BF526" s="46">
        <f>526</f>
        <v>526</v>
      </c>
      <c r="BH526" s="46">
        <f>I526*AO526</f>
        <v>0</v>
      </c>
      <c r="BI526" s="46">
        <f>I526*AP526</f>
        <v>0</v>
      </c>
      <c r="BJ526" s="46">
        <f>I526*J526</f>
        <v>0</v>
      </c>
      <c r="BK526" s="46"/>
      <c r="BL526" s="46"/>
    </row>
    <row r="527" spans="1:15" ht="15" customHeight="1">
      <c r="A527" s="10"/>
      <c r="D527" s="32" t="s">
        <v>1504</v>
      </c>
      <c r="G527" s="32" t="s">
        <v>1163</v>
      </c>
      <c r="I527" s="58">
        <v>12.000000000000002</v>
      </c>
      <c r="O527" s="30"/>
    </row>
    <row r="528" spans="1:64" ht="15" customHeight="1">
      <c r="A528" s="52" t="s">
        <v>359</v>
      </c>
      <c r="B528" s="43" t="s">
        <v>323</v>
      </c>
      <c r="C528" s="43" t="s">
        <v>62</v>
      </c>
      <c r="D528" s="61" t="s">
        <v>213</v>
      </c>
      <c r="E528" s="61"/>
      <c r="F528" s="61"/>
      <c r="G528" s="61"/>
      <c r="H528" s="43" t="s">
        <v>392</v>
      </c>
      <c r="I528" s="46">
        <v>12</v>
      </c>
      <c r="J528" s="46">
        <v>0</v>
      </c>
      <c r="K528" s="46">
        <f>I528*AO528</f>
        <v>0</v>
      </c>
      <c r="L528" s="46">
        <f>I528*AP528</f>
        <v>0</v>
      </c>
      <c r="M528" s="46">
        <f>I528*J528</f>
        <v>0</v>
      </c>
      <c r="N528" s="46">
        <v>0.0012</v>
      </c>
      <c r="O528" s="6" t="s">
        <v>1149</v>
      </c>
      <c r="Z528" s="46">
        <f>IF(AQ528="5",BJ528,0)</f>
        <v>0</v>
      </c>
      <c r="AB528" s="46">
        <f>IF(AQ528="1",BH528,0)</f>
        <v>0</v>
      </c>
      <c r="AC528" s="46">
        <f>IF(AQ528="1",BI528,0)</f>
        <v>0</v>
      </c>
      <c r="AD528" s="46">
        <f>IF(AQ528="7",BH528,0)</f>
        <v>0</v>
      </c>
      <c r="AE528" s="46">
        <f>IF(AQ528="7",BI528,0)</f>
        <v>0</v>
      </c>
      <c r="AF528" s="46">
        <f>IF(AQ528="2",BH528,0)</f>
        <v>0</v>
      </c>
      <c r="AG528" s="46">
        <f>IF(AQ528="2",BI528,0)</f>
        <v>0</v>
      </c>
      <c r="AH528" s="46">
        <f>IF(AQ528="0",BJ528,0)</f>
        <v>0</v>
      </c>
      <c r="AI528" s="1" t="s">
        <v>323</v>
      </c>
      <c r="AJ528" s="46">
        <f>IF(AN528=0,M528,0)</f>
        <v>0</v>
      </c>
      <c r="AK528" s="46">
        <f>IF(AN528=15,M528,0)</f>
        <v>0</v>
      </c>
      <c r="AL528" s="46">
        <f>IF(AN528=21,M528,0)</f>
        <v>0</v>
      </c>
      <c r="AN528" s="46">
        <v>21</v>
      </c>
      <c r="AO528" s="46">
        <f>J528*1</f>
        <v>0</v>
      </c>
      <c r="AP528" s="46">
        <f>J528*(1-1)</f>
        <v>0</v>
      </c>
      <c r="AQ528" s="42" t="s">
        <v>1648</v>
      </c>
      <c r="AV528" s="46">
        <f>AW528+AX528</f>
        <v>0</v>
      </c>
      <c r="AW528" s="46">
        <f>I528*AO528</f>
        <v>0</v>
      </c>
      <c r="AX528" s="46">
        <f>I528*AP528</f>
        <v>0</v>
      </c>
      <c r="AY528" s="42" t="s">
        <v>1538</v>
      </c>
      <c r="AZ528" s="42" t="s">
        <v>1076</v>
      </c>
      <c r="BA528" s="1" t="s">
        <v>1213</v>
      </c>
      <c r="BC528" s="46">
        <f>AW528+AX528</f>
        <v>0</v>
      </c>
      <c r="BD528" s="46">
        <f>J528/(100-BE528)*100</f>
        <v>0</v>
      </c>
      <c r="BE528" s="46">
        <v>0</v>
      </c>
      <c r="BF528" s="46">
        <f>528</f>
        <v>528</v>
      </c>
      <c r="BH528" s="46">
        <f>I528*AO528</f>
        <v>0</v>
      </c>
      <c r="BI528" s="46">
        <f>I528*AP528</f>
        <v>0</v>
      </c>
      <c r="BJ528" s="46">
        <f>I528*J528</f>
        <v>0</v>
      </c>
      <c r="BK528" s="46"/>
      <c r="BL528" s="46"/>
    </row>
    <row r="529" spans="1:15" ht="15" customHeight="1">
      <c r="A529" s="10"/>
      <c r="D529" s="32" t="s">
        <v>1504</v>
      </c>
      <c r="G529" s="32" t="s">
        <v>1163</v>
      </c>
      <c r="I529" s="58">
        <v>12.000000000000002</v>
      </c>
      <c r="O529" s="30"/>
    </row>
    <row r="530" spans="1:64" ht="15" customHeight="1">
      <c r="A530" s="52" t="s">
        <v>298</v>
      </c>
      <c r="B530" s="43" t="s">
        <v>323</v>
      </c>
      <c r="C530" s="43" t="s">
        <v>1440</v>
      </c>
      <c r="D530" s="61" t="s">
        <v>1140</v>
      </c>
      <c r="E530" s="61"/>
      <c r="F530" s="61"/>
      <c r="G530" s="61"/>
      <c r="H530" s="43" t="s">
        <v>749</v>
      </c>
      <c r="I530" s="46">
        <v>2032.0717</v>
      </c>
      <c r="J530" s="46">
        <v>0</v>
      </c>
      <c r="K530" s="46">
        <f>I530*AO530</f>
        <v>0</v>
      </c>
      <c r="L530" s="46">
        <f>I530*AP530</f>
        <v>0</v>
      </c>
      <c r="M530" s="46">
        <f>I530*J530</f>
        <v>0</v>
      </c>
      <c r="N530" s="46">
        <v>0</v>
      </c>
      <c r="O530" s="6" t="s">
        <v>1149</v>
      </c>
      <c r="Z530" s="46">
        <f>IF(AQ530="5",BJ530,0)</f>
        <v>0</v>
      </c>
      <c r="AB530" s="46">
        <f>IF(AQ530="1",BH530,0)</f>
        <v>0</v>
      </c>
      <c r="AC530" s="46">
        <f>IF(AQ530="1",BI530,0)</f>
        <v>0</v>
      </c>
      <c r="AD530" s="46">
        <f>IF(AQ530="7",BH530,0)</f>
        <v>0</v>
      </c>
      <c r="AE530" s="46">
        <f>IF(AQ530="7",BI530,0)</f>
        <v>0</v>
      </c>
      <c r="AF530" s="46">
        <f>IF(AQ530="2",BH530,0)</f>
        <v>0</v>
      </c>
      <c r="AG530" s="46">
        <f>IF(AQ530="2",BI530,0)</f>
        <v>0</v>
      </c>
      <c r="AH530" s="46">
        <f>IF(AQ530="0",BJ530,0)</f>
        <v>0</v>
      </c>
      <c r="AI530" s="1" t="s">
        <v>323</v>
      </c>
      <c r="AJ530" s="46">
        <f>IF(AN530=0,M530,0)</f>
        <v>0</v>
      </c>
      <c r="AK530" s="46">
        <f>IF(AN530=15,M530,0)</f>
        <v>0</v>
      </c>
      <c r="AL530" s="46">
        <f>IF(AN530=21,M530,0)</f>
        <v>0</v>
      </c>
      <c r="AN530" s="46">
        <v>21</v>
      </c>
      <c r="AO530" s="46">
        <f>J530*0</f>
        <v>0</v>
      </c>
      <c r="AP530" s="46">
        <f>J530*(1-0)</f>
        <v>0</v>
      </c>
      <c r="AQ530" s="42" t="s">
        <v>880</v>
      </c>
      <c r="AV530" s="46">
        <f>AW530+AX530</f>
        <v>0</v>
      </c>
      <c r="AW530" s="46">
        <f>I530*AO530</f>
        <v>0</v>
      </c>
      <c r="AX530" s="46">
        <f>I530*AP530</f>
        <v>0</v>
      </c>
      <c r="AY530" s="42" t="s">
        <v>1538</v>
      </c>
      <c r="AZ530" s="42" t="s">
        <v>1076</v>
      </c>
      <c r="BA530" s="1" t="s">
        <v>1213</v>
      </c>
      <c r="BC530" s="46">
        <f>AW530+AX530</f>
        <v>0</v>
      </c>
      <c r="BD530" s="46">
        <f>J530/(100-BE530)*100</f>
        <v>0</v>
      </c>
      <c r="BE530" s="46">
        <v>0</v>
      </c>
      <c r="BF530" s="46">
        <f>530</f>
        <v>530</v>
      </c>
      <c r="BH530" s="46">
        <f>I530*AO530</f>
        <v>0</v>
      </c>
      <c r="BI530" s="46">
        <f>I530*AP530</f>
        <v>0</v>
      </c>
      <c r="BJ530" s="46">
        <f>I530*J530</f>
        <v>0</v>
      </c>
      <c r="BK530" s="46"/>
      <c r="BL530" s="46"/>
    </row>
    <row r="531" spans="1:64" ht="15" customHeight="1">
      <c r="A531" s="52" t="s">
        <v>491</v>
      </c>
      <c r="B531" s="43" t="s">
        <v>323</v>
      </c>
      <c r="C531" s="43" t="s">
        <v>1816</v>
      </c>
      <c r="D531" s="61" t="s">
        <v>1205</v>
      </c>
      <c r="E531" s="61"/>
      <c r="F531" s="61"/>
      <c r="G531" s="61"/>
      <c r="H531" s="43" t="s">
        <v>1574</v>
      </c>
      <c r="I531" s="46">
        <v>350</v>
      </c>
      <c r="J531" s="46">
        <v>0</v>
      </c>
      <c r="K531" s="46">
        <f>I531*AO531</f>
        <v>0</v>
      </c>
      <c r="L531" s="46">
        <f>I531*AP531</f>
        <v>0</v>
      </c>
      <c r="M531" s="46">
        <f>I531*J531</f>
        <v>0</v>
      </c>
      <c r="N531" s="46">
        <v>0.001</v>
      </c>
      <c r="O531" s="6" t="s">
        <v>1149</v>
      </c>
      <c r="Z531" s="46">
        <f>IF(AQ531="5",BJ531,0)</f>
        <v>0</v>
      </c>
      <c r="AB531" s="46">
        <f>IF(AQ531="1",BH531,0)</f>
        <v>0</v>
      </c>
      <c r="AC531" s="46">
        <f>IF(AQ531="1",BI531,0)</f>
        <v>0</v>
      </c>
      <c r="AD531" s="46">
        <f>IF(AQ531="7",BH531,0)</f>
        <v>0</v>
      </c>
      <c r="AE531" s="46">
        <f>IF(AQ531="7",BI531,0)</f>
        <v>0</v>
      </c>
      <c r="AF531" s="46">
        <f>IF(AQ531="2",BH531,0)</f>
        <v>0</v>
      </c>
      <c r="AG531" s="46">
        <f>IF(AQ531="2",BI531,0)</f>
        <v>0</v>
      </c>
      <c r="AH531" s="46">
        <f>IF(AQ531="0",BJ531,0)</f>
        <v>0</v>
      </c>
      <c r="AI531" s="1" t="s">
        <v>323</v>
      </c>
      <c r="AJ531" s="46">
        <f>IF(AN531=0,M531,0)</f>
        <v>0</v>
      </c>
      <c r="AK531" s="46">
        <f>IF(AN531=15,M531,0)</f>
        <v>0</v>
      </c>
      <c r="AL531" s="46">
        <f>IF(AN531=21,M531,0)</f>
        <v>0</v>
      </c>
      <c r="AN531" s="46">
        <v>21</v>
      </c>
      <c r="AO531" s="46">
        <f>J531*1</f>
        <v>0</v>
      </c>
      <c r="AP531" s="46">
        <f>J531*(1-1)</f>
        <v>0</v>
      </c>
      <c r="AQ531" s="42" t="s">
        <v>1648</v>
      </c>
      <c r="AV531" s="46">
        <f>AW531+AX531</f>
        <v>0</v>
      </c>
      <c r="AW531" s="46">
        <f>I531*AO531</f>
        <v>0</v>
      </c>
      <c r="AX531" s="46">
        <f>I531*AP531</f>
        <v>0</v>
      </c>
      <c r="AY531" s="42" t="s">
        <v>1538</v>
      </c>
      <c r="AZ531" s="42" t="s">
        <v>1076</v>
      </c>
      <c r="BA531" s="1" t="s">
        <v>1213</v>
      </c>
      <c r="BC531" s="46">
        <f>AW531+AX531</f>
        <v>0</v>
      </c>
      <c r="BD531" s="46">
        <f>J531/(100-BE531)*100</f>
        <v>0</v>
      </c>
      <c r="BE531" s="46">
        <v>0</v>
      </c>
      <c r="BF531" s="46">
        <f>531</f>
        <v>531</v>
      </c>
      <c r="BH531" s="46">
        <f>I531*AO531</f>
        <v>0</v>
      </c>
      <c r="BI531" s="46">
        <f>I531*AP531</f>
        <v>0</v>
      </c>
      <c r="BJ531" s="46">
        <f>I531*J531</f>
        <v>0</v>
      </c>
      <c r="BK531" s="46"/>
      <c r="BL531" s="46"/>
    </row>
    <row r="532" spans="1:15" ht="15" customHeight="1">
      <c r="A532" s="3" t="s">
        <v>1163</v>
      </c>
      <c r="B532" s="9" t="s">
        <v>1482</v>
      </c>
      <c r="C532" s="9" t="s">
        <v>1163</v>
      </c>
      <c r="D532" s="64" t="s">
        <v>716</v>
      </c>
      <c r="E532" s="64"/>
      <c r="F532" s="64"/>
      <c r="G532" s="64"/>
      <c r="H532" s="41" t="s">
        <v>1537</v>
      </c>
      <c r="I532" s="41" t="s">
        <v>1537</v>
      </c>
      <c r="J532" s="41" t="s">
        <v>1537</v>
      </c>
      <c r="K532" s="50">
        <f>K533+K558+K565+K570+K576+K583+K586+K589+K603+K610</f>
        <v>0</v>
      </c>
      <c r="L532" s="50">
        <f>L533+L558+L565+L570+L576+L583+L586+L589+L603+L610</f>
        <v>0</v>
      </c>
      <c r="M532" s="50">
        <f>M533+M558+M565+M570+M576+M583+M586+M589+M603+M610</f>
        <v>0</v>
      </c>
      <c r="N532" s="1" t="s">
        <v>1163</v>
      </c>
      <c r="O532" s="45" t="s">
        <v>1163</v>
      </c>
    </row>
    <row r="533" spans="1:47" ht="15" customHeight="1">
      <c r="A533" s="3" t="s">
        <v>1163</v>
      </c>
      <c r="B533" s="9" t="s">
        <v>1482</v>
      </c>
      <c r="C533" s="9" t="s">
        <v>1385</v>
      </c>
      <c r="D533" s="64" t="s">
        <v>909</v>
      </c>
      <c r="E533" s="64"/>
      <c r="F533" s="64"/>
      <c r="G533" s="64"/>
      <c r="H533" s="41" t="s">
        <v>1537</v>
      </c>
      <c r="I533" s="41" t="s">
        <v>1537</v>
      </c>
      <c r="J533" s="41" t="s">
        <v>1537</v>
      </c>
      <c r="K533" s="50">
        <f>SUM(K534:K556)</f>
        <v>0</v>
      </c>
      <c r="L533" s="50">
        <f>SUM(L534:L556)</f>
        <v>0</v>
      </c>
      <c r="M533" s="50">
        <f>SUM(M534:M556)</f>
        <v>0</v>
      </c>
      <c r="N533" s="1" t="s">
        <v>1163</v>
      </c>
      <c r="O533" s="45" t="s">
        <v>1163</v>
      </c>
      <c r="AI533" s="1" t="s">
        <v>1482</v>
      </c>
      <c r="AS533" s="50">
        <f>SUM(AJ534:AJ556)</f>
        <v>0</v>
      </c>
      <c r="AT533" s="50">
        <f>SUM(AK534:AK556)</f>
        <v>0</v>
      </c>
      <c r="AU533" s="50">
        <f>SUM(AL534:AL556)</f>
        <v>0</v>
      </c>
    </row>
    <row r="534" spans="1:64" ht="15" customHeight="1">
      <c r="A534" s="52" t="s">
        <v>844</v>
      </c>
      <c r="B534" s="43" t="s">
        <v>1482</v>
      </c>
      <c r="C534" s="43" t="s">
        <v>982</v>
      </c>
      <c r="D534" s="61" t="s">
        <v>833</v>
      </c>
      <c r="E534" s="61"/>
      <c r="F534" s="61"/>
      <c r="G534" s="61"/>
      <c r="H534" s="43" t="s">
        <v>1629</v>
      </c>
      <c r="I534" s="46">
        <v>170.2</v>
      </c>
      <c r="J534" s="46">
        <v>0</v>
      </c>
      <c r="K534" s="46">
        <f>I534*AO534</f>
        <v>0</v>
      </c>
      <c r="L534" s="46">
        <f>I534*AP534</f>
        <v>0</v>
      </c>
      <c r="M534" s="46">
        <f>I534*J534</f>
        <v>0</v>
      </c>
      <c r="N534" s="46">
        <v>0</v>
      </c>
      <c r="O534" s="6" t="s">
        <v>1149</v>
      </c>
      <c r="Z534" s="46">
        <f>IF(AQ534="5",BJ534,0)</f>
        <v>0</v>
      </c>
      <c r="AB534" s="46">
        <f>IF(AQ534="1",BH534,0)</f>
        <v>0</v>
      </c>
      <c r="AC534" s="46">
        <f>IF(AQ534="1",BI534,0)</f>
        <v>0</v>
      </c>
      <c r="AD534" s="46">
        <f>IF(AQ534="7",BH534,0)</f>
        <v>0</v>
      </c>
      <c r="AE534" s="46">
        <f>IF(AQ534="7",BI534,0)</f>
        <v>0</v>
      </c>
      <c r="AF534" s="46">
        <f>IF(AQ534="2",BH534,0)</f>
        <v>0</v>
      </c>
      <c r="AG534" s="46">
        <f>IF(AQ534="2",BI534,0)</f>
        <v>0</v>
      </c>
      <c r="AH534" s="46">
        <f>IF(AQ534="0",BJ534,0)</f>
        <v>0</v>
      </c>
      <c r="AI534" s="1" t="s">
        <v>1482</v>
      </c>
      <c r="AJ534" s="46">
        <f>IF(AN534=0,M534,0)</f>
        <v>0</v>
      </c>
      <c r="AK534" s="46">
        <f>IF(AN534=15,M534,0)</f>
        <v>0</v>
      </c>
      <c r="AL534" s="46">
        <f>IF(AN534=21,M534,0)</f>
        <v>0</v>
      </c>
      <c r="AN534" s="46">
        <v>21</v>
      </c>
      <c r="AO534" s="46">
        <f>J534*0</f>
        <v>0</v>
      </c>
      <c r="AP534" s="46">
        <f>J534*(1-0)</f>
        <v>0</v>
      </c>
      <c r="AQ534" s="42" t="s">
        <v>1648</v>
      </c>
      <c r="AV534" s="46">
        <f>AW534+AX534</f>
        <v>0</v>
      </c>
      <c r="AW534" s="46">
        <f>I534*AO534</f>
        <v>0</v>
      </c>
      <c r="AX534" s="46">
        <f>I534*AP534</f>
        <v>0</v>
      </c>
      <c r="AY534" s="42" t="s">
        <v>179</v>
      </c>
      <c r="AZ534" s="42" t="s">
        <v>787</v>
      </c>
      <c r="BA534" s="1" t="s">
        <v>1317</v>
      </c>
      <c r="BC534" s="46">
        <f>AW534+AX534</f>
        <v>0</v>
      </c>
      <c r="BD534" s="46">
        <f>J534/(100-BE534)*100</f>
        <v>0</v>
      </c>
      <c r="BE534" s="46">
        <v>0</v>
      </c>
      <c r="BF534" s="46">
        <f>534</f>
        <v>534</v>
      </c>
      <c r="BH534" s="46">
        <f>I534*AO534</f>
        <v>0</v>
      </c>
      <c r="BI534" s="46">
        <f>I534*AP534</f>
        <v>0</v>
      </c>
      <c r="BJ534" s="46">
        <f>I534*J534</f>
        <v>0</v>
      </c>
      <c r="BK534" s="46"/>
      <c r="BL534" s="46">
        <v>11</v>
      </c>
    </row>
    <row r="535" spans="1:15" ht="15" customHeight="1">
      <c r="A535" s="10"/>
      <c r="D535" s="32" t="s">
        <v>227</v>
      </c>
      <c r="G535" s="32" t="s">
        <v>1700</v>
      </c>
      <c r="I535" s="58">
        <v>147.20000000000002</v>
      </c>
      <c r="O535" s="30"/>
    </row>
    <row r="536" spans="1:15" ht="15" customHeight="1">
      <c r="A536" s="10"/>
      <c r="D536" s="32" t="s">
        <v>39</v>
      </c>
      <c r="G536" s="32" t="s">
        <v>1369</v>
      </c>
      <c r="I536" s="58">
        <v>23.000000000000004</v>
      </c>
      <c r="O536" s="30"/>
    </row>
    <row r="537" spans="1:64" ht="15" customHeight="1">
      <c r="A537" s="52" t="s">
        <v>1239</v>
      </c>
      <c r="B537" s="43" t="s">
        <v>1482</v>
      </c>
      <c r="C537" s="43" t="s">
        <v>1868</v>
      </c>
      <c r="D537" s="61" t="s">
        <v>951</v>
      </c>
      <c r="E537" s="61"/>
      <c r="F537" s="61"/>
      <c r="G537" s="61"/>
      <c r="H537" s="43" t="s">
        <v>1629</v>
      </c>
      <c r="I537" s="46">
        <v>280.6</v>
      </c>
      <c r="J537" s="46">
        <v>0</v>
      </c>
      <c r="K537" s="46">
        <f>I537*AO537</f>
        <v>0</v>
      </c>
      <c r="L537" s="46">
        <f>I537*AP537</f>
        <v>0</v>
      </c>
      <c r="M537" s="46">
        <f>I537*J537</f>
        <v>0</v>
      </c>
      <c r="N537" s="46">
        <v>0</v>
      </c>
      <c r="O537" s="6" t="s">
        <v>1149</v>
      </c>
      <c r="Z537" s="46">
        <f>IF(AQ537="5",BJ537,0)</f>
        <v>0</v>
      </c>
      <c r="AB537" s="46">
        <f>IF(AQ537="1",BH537,0)</f>
        <v>0</v>
      </c>
      <c r="AC537" s="46">
        <f>IF(AQ537="1",BI537,0)</f>
        <v>0</v>
      </c>
      <c r="AD537" s="46">
        <f>IF(AQ537="7",BH537,0)</f>
        <v>0</v>
      </c>
      <c r="AE537" s="46">
        <f>IF(AQ537="7",BI537,0)</f>
        <v>0</v>
      </c>
      <c r="AF537" s="46">
        <f>IF(AQ537="2",BH537,0)</f>
        <v>0</v>
      </c>
      <c r="AG537" s="46">
        <f>IF(AQ537="2",BI537,0)</f>
        <v>0</v>
      </c>
      <c r="AH537" s="46">
        <f>IF(AQ537="0",BJ537,0)</f>
        <v>0</v>
      </c>
      <c r="AI537" s="1" t="s">
        <v>1482</v>
      </c>
      <c r="AJ537" s="46">
        <f>IF(AN537=0,M537,0)</f>
        <v>0</v>
      </c>
      <c r="AK537" s="46">
        <f>IF(AN537=15,M537,0)</f>
        <v>0</v>
      </c>
      <c r="AL537" s="46">
        <f>IF(AN537=21,M537,0)</f>
        <v>0</v>
      </c>
      <c r="AN537" s="46">
        <v>21</v>
      </c>
      <c r="AO537" s="46">
        <f>J537*0</f>
        <v>0</v>
      </c>
      <c r="AP537" s="46">
        <f>J537*(1-0)</f>
        <v>0</v>
      </c>
      <c r="AQ537" s="42" t="s">
        <v>1648</v>
      </c>
      <c r="AV537" s="46">
        <f>AW537+AX537</f>
        <v>0</v>
      </c>
      <c r="AW537" s="46">
        <f>I537*AO537</f>
        <v>0</v>
      </c>
      <c r="AX537" s="46">
        <f>I537*AP537</f>
        <v>0</v>
      </c>
      <c r="AY537" s="42" t="s">
        <v>179</v>
      </c>
      <c r="AZ537" s="42" t="s">
        <v>787</v>
      </c>
      <c r="BA537" s="1" t="s">
        <v>1317</v>
      </c>
      <c r="BC537" s="46">
        <f>AW537+AX537</f>
        <v>0</v>
      </c>
      <c r="BD537" s="46">
        <f>J537/(100-BE537)*100</f>
        <v>0</v>
      </c>
      <c r="BE537" s="46">
        <v>0</v>
      </c>
      <c r="BF537" s="46">
        <f>537</f>
        <v>537</v>
      </c>
      <c r="BH537" s="46">
        <f>I537*AO537</f>
        <v>0</v>
      </c>
      <c r="BI537" s="46">
        <f>I537*AP537</f>
        <v>0</v>
      </c>
      <c r="BJ537" s="46">
        <f>I537*J537</f>
        <v>0</v>
      </c>
      <c r="BK537" s="46"/>
      <c r="BL537" s="46">
        <v>11</v>
      </c>
    </row>
    <row r="538" spans="1:15" ht="15" customHeight="1">
      <c r="A538" s="10"/>
      <c r="D538" s="32" t="s">
        <v>1873</v>
      </c>
      <c r="G538" s="32" t="s">
        <v>1820</v>
      </c>
      <c r="I538" s="58">
        <v>280.6</v>
      </c>
      <c r="O538" s="30"/>
    </row>
    <row r="539" spans="1:64" ht="15" customHeight="1">
      <c r="A539" s="52" t="s">
        <v>210</v>
      </c>
      <c r="B539" s="43" t="s">
        <v>1482</v>
      </c>
      <c r="C539" s="43" t="s">
        <v>654</v>
      </c>
      <c r="D539" s="61" t="s">
        <v>487</v>
      </c>
      <c r="E539" s="61"/>
      <c r="F539" s="61"/>
      <c r="G539" s="61"/>
      <c r="H539" s="43" t="s">
        <v>749</v>
      </c>
      <c r="I539" s="46">
        <v>61.732</v>
      </c>
      <c r="J539" s="46">
        <v>0</v>
      </c>
      <c r="K539" s="46">
        <f>I539*AO539</f>
        <v>0</v>
      </c>
      <c r="L539" s="46">
        <f>I539*AP539</f>
        <v>0</v>
      </c>
      <c r="M539" s="46">
        <f>I539*J539</f>
        <v>0</v>
      </c>
      <c r="N539" s="46">
        <v>0</v>
      </c>
      <c r="O539" s="6" t="s">
        <v>1149</v>
      </c>
      <c r="Z539" s="46">
        <f>IF(AQ539="5",BJ539,0)</f>
        <v>0</v>
      </c>
      <c r="AB539" s="46">
        <f>IF(AQ539="1",BH539,0)</f>
        <v>0</v>
      </c>
      <c r="AC539" s="46">
        <f>IF(AQ539="1",BI539,0)</f>
        <v>0</v>
      </c>
      <c r="AD539" s="46">
        <f>IF(AQ539="7",BH539,0)</f>
        <v>0</v>
      </c>
      <c r="AE539" s="46">
        <f>IF(AQ539="7",BI539,0)</f>
        <v>0</v>
      </c>
      <c r="AF539" s="46">
        <f>IF(AQ539="2",BH539,0)</f>
        <v>0</v>
      </c>
      <c r="AG539" s="46">
        <f>IF(AQ539="2",BI539,0)</f>
        <v>0</v>
      </c>
      <c r="AH539" s="46">
        <f>IF(AQ539="0",BJ539,0)</f>
        <v>0</v>
      </c>
      <c r="AI539" s="1" t="s">
        <v>1482</v>
      </c>
      <c r="AJ539" s="46">
        <f>IF(AN539=0,M539,0)</f>
        <v>0</v>
      </c>
      <c r="AK539" s="46">
        <f>IF(AN539=15,M539,0)</f>
        <v>0</v>
      </c>
      <c r="AL539" s="46">
        <f>IF(AN539=21,M539,0)</f>
        <v>0</v>
      </c>
      <c r="AN539" s="46">
        <v>21</v>
      </c>
      <c r="AO539" s="46">
        <f>J539*0</f>
        <v>0</v>
      </c>
      <c r="AP539" s="46">
        <f>J539*(1-0)</f>
        <v>0</v>
      </c>
      <c r="AQ539" s="42" t="s">
        <v>880</v>
      </c>
      <c r="AV539" s="46">
        <f>AW539+AX539</f>
        <v>0</v>
      </c>
      <c r="AW539" s="46">
        <f>I539*AO539</f>
        <v>0</v>
      </c>
      <c r="AX539" s="46">
        <f>I539*AP539</f>
        <v>0</v>
      </c>
      <c r="AY539" s="42" t="s">
        <v>179</v>
      </c>
      <c r="AZ539" s="42" t="s">
        <v>787</v>
      </c>
      <c r="BA539" s="1" t="s">
        <v>1317</v>
      </c>
      <c r="BC539" s="46">
        <f>AW539+AX539</f>
        <v>0</v>
      </c>
      <c r="BD539" s="46">
        <f>J539/(100-BE539)*100</f>
        <v>0</v>
      </c>
      <c r="BE539" s="46">
        <v>0</v>
      </c>
      <c r="BF539" s="46">
        <f>539</f>
        <v>539</v>
      </c>
      <c r="BH539" s="46">
        <f>I539*AO539</f>
        <v>0</v>
      </c>
      <c r="BI539" s="46">
        <f>I539*AP539</f>
        <v>0</v>
      </c>
      <c r="BJ539" s="46">
        <f>I539*J539</f>
        <v>0</v>
      </c>
      <c r="BK539" s="46"/>
      <c r="BL539" s="46">
        <v>11</v>
      </c>
    </row>
    <row r="540" spans="1:15" ht="15" customHeight="1">
      <c r="A540" s="10"/>
      <c r="D540" s="32" t="s">
        <v>469</v>
      </c>
      <c r="G540" s="32" t="s">
        <v>1719</v>
      </c>
      <c r="I540" s="58">
        <v>61.732000000000006</v>
      </c>
      <c r="O540" s="30"/>
    </row>
    <row r="541" spans="1:64" ht="15" customHeight="1">
      <c r="A541" s="52" t="s">
        <v>1657</v>
      </c>
      <c r="B541" s="43" t="s">
        <v>1482</v>
      </c>
      <c r="C541" s="43" t="s">
        <v>1199</v>
      </c>
      <c r="D541" s="61" t="s">
        <v>1553</v>
      </c>
      <c r="E541" s="61"/>
      <c r="F541" s="61"/>
      <c r="G541" s="61"/>
      <c r="H541" s="43" t="s">
        <v>1365</v>
      </c>
      <c r="I541" s="46">
        <v>46</v>
      </c>
      <c r="J541" s="46">
        <v>0</v>
      </c>
      <c r="K541" s="46">
        <f>I541*AO541</f>
        <v>0</v>
      </c>
      <c r="L541" s="46">
        <f>I541*AP541</f>
        <v>0</v>
      </c>
      <c r="M541" s="46">
        <f>I541*J541</f>
        <v>0</v>
      </c>
      <c r="N541" s="46">
        <v>0</v>
      </c>
      <c r="O541" s="6" t="s">
        <v>1149</v>
      </c>
      <c r="Z541" s="46">
        <f>IF(AQ541="5",BJ541,0)</f>
        <v>0</v>
      </c>
      <c r="AB541" s="46">
        <f>IF(AQ541="1",BH541,0)</f>
        <v>0</v>
      </c>
      <c r="AC541" s="46">
        <f>IF(AQ541="1",BI541,0)</f>
        <v>0</v>
      </c>
      <c r="AD541" s="46">
        <f>IF(AQ541="7",BH541,0)</f>
        <v>0</v>
      </c>
      <c r="AE541" s="46">
        <f>IF(AQ541="7",BI541,0)</f>
        <v>0</v>
      </c>
      <c r="AF541" s="46">
        <f>IF(AQ541="2",BH541,0)</f>
        <v>0</v>
      </c>
      <c r="AG541" s="46">
        <f>IF(AQ541="2",BI541,0)</f>
        <v>0</v>
      </c>
      <c r="AH541" s="46">
        <f>IF(AQ541="0",BJ541,0)</f>
        <v>0</v>
      </c>
      <c r="AI541" s="1" t="s">
        <v>1482</v>
      </c>
      <c r="AJ541" s="46">
        <f>IF(AN541=0,M541,0)</f>
        <v>0</v>
      </c>
      <c r="AK541" s="46">
        <f>IF(AN541=15,M541,0)</f>
        <v>0</v>
      </c>
      <c r="AL541" s="46">
        <f>IF(AN541=21,M541,0)</f>
        <v>0</v>
      </c>
      <c r="AN541" s="46">
        <v>21</v>
      </c>
      <c r="AO541" s="46">
        <f>J541*0</f>
        <v>0</v>
      </c>
      <c r="AP541" s="46">
        <f>J541*(1-0)</f>
        <v>0</v>
      </c>
      <c r="AQ541" s="42" t="s">
        <v>1648</v>
      </c>
      <c r="AV541" s="46">
        <f>AW541+AX541</f>
        <v>0</v>
      </c>
      <c r="AW541" s="46">
        <f>I541*AO541</f>
        <v>0</v>
      </c>
      <c r="AX541" s="46">
        <f>I541*AP541</f>
        <v>0</v>
      </c>
      <c r="AY541" s="42" t="s">
        <v>179</v>
      </c>
      <c r="AZ541" s="42" t="s">
        <v>787</v>
      </c>
      <c r="BA541" s="1" t="s">
        <v>1317</v>
      </c>
      <c r="BC541" s="46">
        <f>AW541+AX541</f>
        <v>0</v>
      </c>
      <c r="BD541" s="46">
        <f>J541/(100-BE541)*100</f>
        <v>0</v>
      </c>
      <c r="BE541" s="46">
        <v>0</v>
      </c>
      <c r="BF541" s="46">
        <f>541</f>
        <v>541</v>
      </c>
      <c r="BH541" s="46">
        <f>I541*AO541</f>
        <v>0</v>
      </c>
      <c r="BI541" s="46">
        <f>I541*AP541</f>
        <v>0</v>
      </c>
      <c r="BJ541" s="46">
        <f>I541*J541</f>
        <v>0</v>
      </c>
      <c r="BK541" s="46"/>
      <c r="BL541" s="46">
        <v>11</v>
      </c>
    </row>
    <row r="542" spans="1:15" ht="15" customHeight="1">
      <c r="A542" s="10"/>
      <c r="D542" s="32" t="s">
        <v>1337</v>
      </c>
      <c r="G542" s="32" t="s">
        <v>1771</v>
      </c>
      <c r="I542" s="58">
        <v>46.00000000000001</v>
      </c>
      <c r="O542" s="30"/>
    </row>
    <row r="543" spans="1:64" ht="15" customHeight="1">
      <c r="A543" s="52" t="s">
        <v>81</v>
      </c>
      <c r="B543" s="43" t="s">
        <v>1482</v>
      </c>
      <c r="C543" s="43" t="s">
        <v>1734</v>
      </c>
      <c r="D543" s="61" t="s">
        <v>690</v>
      </c>
      <c r="E543" s="61"/>
      <c r="F543" s="61"/>
      <c r="G543" s="61"/>
      <c r="H543" s="43" t="s">
        <v>1629</v>
      </c>
      <c r="I543" s="46">
        <v>23</v>
      </c>
      <c r="J543" s="46">
        <v>0</v>
      </c>
      <c r="K543" s="46">
        <f>I543*AO543</f>
        <v>0</v>
      </c>
      <c r="L543" s="46">
        <f>I543*AP543</f>
        <v>0</v>
      </c>
      <c r="M543" s="46">
        <f>I543*J543</f>
        <v>0</v>
      </c>
      <c r="N543" s="46">
        <v>0</v>
      </c>
      <c r="O543" s="6" t="s">
        <v>1149</v>
      </c>
      <c r="Z543" s="46">
        <f>IF(AQ543="5",BJ543,0)</f>
        <v>0</v>
      </c>
      <c r="AB543" s="46">
        <f>IF(AQ543="1",BH543,0)</f>
        <v>0</v>
      </c>
      <c r="AC543" s="46">
        <f>IF(AQ543="1",BI543,0)</f>
        <v>0</v>
      </c>
      <c r="AD543" s="46">
        <f>IF(AQ543="7",BH543,0)</f>
        <v>0</v>
      </c>
      <c r="AE543" s="46">
        <f>IF(AQ543="7",BI543,0)</f>
        <v>0</v>
      </c>
      <c r="AF543" s="46">
        <f>IF(AQ543="2",BH543,0)</f>
        <v>0</v>
      </c>
      <c r="AG543" s="46">
        <f>IF(AQ543="2",BI543,0)</f>
        <v>0</v>
      </c>
      <c r="AH543" s="46">
        <f>IF(AQ543="0",BJ543,0)</f>
        <v>0</v>
      </c>
      <c r="AI543" s="1" t="s">
        <v>1482</v>
      </c>
      <c r="AJ543" s="46">
        <f>IF(AN543=0,M543,0)</f>
        <v>0</v>
      </c>
      <c r="AK543" s="46">
        <f>IF(AN543=15,M543,0)</f>
        <v>0</v>
      </c>
      <c r="AL543" s="46">
        <f>IF(AN543=21,M543,0)</f>
        <v>0</v>
      </c>
      <c r="AN543" s="46">
        <v>21</v>
      </c>
      <c r="AO543" s="46">
        <f>J543*0</f>
        <v>0</v>
      </c>
      <c r="AP543" s="46">
        <f>J543*(1-0)</f>
        <v>0</v>
      </c>
      <c r="AQ543" s="42" t="s">
        <v>1648</v>
      </c>
      <c r="AV543" s="46">
        <f>AW543+AX543</f>
        <v>0</v>
      </c>
      <c r="AW543" s="46">
        <f>I543*AO543</f>
        <v>0</v>
      </c>
      <c r="AX543" s="46">
        <f>I543*AP543</f>
        <v>0</v>
      </c>
      <c r="AY543" s="42" t="s">
        <v>179</v>
      </c>
      <c r="AZ543" s="42" t="s">
        <v>787</v>
      </c>
      <c r="BA543" s="1" t="s">
        <v>1317</v>
      </c>
      <c r="BC543" s="46">
        <f>AW543+AX543</f>
        <v>0</v>
      </c>
      <c r="BD543" s="46">
        <f>J543/(100-BE543)*100</f>
        <v>0</v>
      </c>
      <c r="BE543" s="46">
        <v>0</v>
      </c>
      <c r="BF543" s="46">
        <f>543</f>
        <v>543</v>
      </c>
      <c r="BH543" s="46">
        <f>I543*AO543</f>
        <v>0</v>
      </c>
      <c r="BI543" s="46">
        <f>I543*AP543</f>
        <v>0</v>
      </c>
      <c r="BJ543" s="46">
        <f>I543*J543</f>
        <v>0</v>
      </c>
      <c r="BK543" s="46"/>
      <c r="BL543" s="46">
        <v>11</v>
      </c>
    </row>
    <row r="544" spans="1:15" ht="15" customHeight="1">
      <c r="A544" s="10"/>
      <c r="D544" s="32" t="s">
        <v>39</v>
      </c>
      <c r="G544" s="32" t="s">
        <v>1061</v>
      </c>
      <c r="I544" s="58">
        <v>23.000000000000004</v>
      </c>
      <c r="O544" s="30"/>
    </row>
    <row r="545" spans="1:64" ht="15" customHeight="1">
      <c r="A545" s="52" t="s">
        <v>923</v>
      </c>
      <c r="B545" s="43" t="s">
        <v>1482</v>
      </c>
      <c r="C545" s="43" t="s">
        <v>391</v>
      </c>
      <c r="D545" s="61" t="s">
        <v>560</v>
      </c>
      <c r="E545" s="61"/>
      <c r="F545" s="61"/>
      <c r="G545" s="61"/>
      <c r="H545" s="43" t="s">
        <v>1365</v>
      </c>
      <c r="I545" s="46">
        <v>280.6</v>
      </c>
      <c r="J545" s="46">
        <v>0</v>
      </c>
      <c r="K545" s="46">
        <f>I545*AO545</f>
        <v>0</v>
      </c>
      <c r="L545" s="46">
        <f>I545*AP545</f>
        <v>0</v>
      </c>
      <c r="M545" s="46">
        <f>I545*J545</f>
        <v>0</v>
      </c>
      <c r="N545" s="46">
        <v>0</v>
      </c>
      <c r="O545" s="6" t="s">
        <v>1149</v>
      </c>
      <c r="Z545" s="46">
        <f>IF(AQ545="5",BJ545,0)</f>
        <v>0</v>
      </c>
      <c r="AB545" s="46">
        <f>IF(AQ545="1",BH545,0)</f>
        <v>0</v>
      </c>
      <c r="AC545" s="46">
        <f>IF(AQ545="1",BI545,0)</f>
        <v>0</v>
      </c>
      <c r="AD545" s="46">
        <f>IF(AQ545="7",BH545,0)</f>
        <v>0</v>
      </c>
      <c r="AE545" s="46">
        <f>IF(AQ545="7",BI545,0)</f>
        <v>0</v>
      </c>
      <c r="AF545" s="46">
        <f>IF(AQ545="2",BH545,0)</f>
        <v>0</v>
      </c>
      <c r="AG545" s="46">
        <f>IF(AQ545="2",BI545,0)</f>
        <v>0</v>
      </c>
      <c r="AH545" s="46">
        <f>IF(AQ545="0",BJ545,0)</f>
        <v>0</v>
      </c>
      <c r="AI545" s="1" t="s">
        <v>1482</v>
      </c>
      <c r="AJ545" s="46">
        <f>IF(AN545=0,M545,0)</f>
        <v>0</v>
      </c>
      <c r="AK545" s="46">
        <f>IF(AN545=15,M545,0)</f>
        <v>0</v>
      </c>
      <c r="AL545" s="46">
        <f>IF(AN545=21,M545,0)</f>
        <v>0</v>
      </c>
      <c r="AN545" s="46">
        <v>21</v>
      </c>
      <c r="AO545" s="46">
        <f>J545*0</f>
        <v>0</v>
      </c>
      <c r="AP545" s="46">
        <f>J545*(1-0)</f>
        <v>0</v>
      </c>
      <c r="AQ545" s="42" t="s">
        <v>1648</v>
      </c>
      <c r="AV545" s="46">
        <f>AW545+AX545</f>
        <v>0</v>
      </c>
      <c r="AW545" s="46">
        <f>I545*AO545</f>
        <v>0</v>
      </c>
      <c r="AX545" s="46">
        <f>I545*AP545</f>
        <v>0</v>
      </c>
      <c r="AY545" s="42" t="s">
        <v>179</v>
      </c>
      <c r="AZ545" s="42" t="s">
        <v>787</v>
      </c>
      <c r="BA545" s="1" t="s">
        <v>1317</v>
      </c>
      <c r="BC545" s="46">
        <f>AW545+AX545</f>
        <v>0</v>
      </c>
      <c r="BD545" s="46">
        <f>J545/(100-BE545)*100</f>
        <v>0</v>
      </c>
      <c r="BE545" s="46">
        <v>0</v>
      </c>
      <c r="BF545" s="46">
        <f>545</f>
        <v>545</v>
      </c>
      <c r="BH545" s="46">
        <f>I545*AO545</f>
        <v>0</v>
      </c>
      <c r="BI545" s="46">
        <f>I545*AP545</f>
        <v>0</v>
      </c>
      <c r="BJ545" s="46">
        <f>I545*J545</f>
        <v>0</v>
      </c>
      <c r="BK545" s="46"/>
      <c r="BL545" s="46">
        <v>11</v>
      </c>
    </row>
    <row r="546" spans="1:15" ht="15" customHeight="1">
      <c r="A546" s="10"/>
      <c r="D546" s="32" t="s">
        <v>1873</v>
      </c>
      <c r="G546" s="32" t="s">
        <v>71</v>
      </c>
      <c r="I546" s="58">
        <v>280.6</v>
      </c>
      <c r="O546" s="30"/>
    </row>
    <row r="547" spans="1:64" ht="15" customHeight="1">
      <c r="A547" s="52" t="s">
        <v>1815</v>
      </c>
      <c r="B547" s="43" t="s">
        <v>1482</v>
      </c>
      <c r="C547" s="43" t="s">
        <v>1281</v>
      </c>
      <c r="D547" s="61" t="s">
        <v>869</v>
      </c>
      <c r="E547" s="61"/>
      <c r="F547" s="61"/>
      <c r="G547" s="61"/>
      <c r="H547" s="43" t="s">
        <v>749</v>
      </c>
      <c r="I547" s="46">
        <v>11.224</v>
      </c>
      <c r="J547" s="46">
        <v>0</v>
      </c>
      <c r="K547" s="46">
        <f>I547*AO547</f>
        <v>0</v>
      </c>
      <c r="L547" s="46">
        <f>I547*AP547</f>
        <v>0</v>
      </c>
      <c r="M547" s="46">
        <f>I547*J547</f>
        <v>0</v>
      </c>
      <c r="N547" s="46">
        <v>0</v>
      </c>
      <c r="O547" s="6" t="s">
        <v>1149</v>
      </c>
      <c r="Z547" s="46">
        <f>IF(AQ547="5",BJ547,0)</f>
        <v>0</v>
      </c>
      <c r="AB547" s="46">
        <f>IF(AQ547="1",BH547,0)</f>
        <v>0</v>
      </c>
      <c r="AC547" s="46">
        <f>IF(AQ547="1",BI547,0)</f>
        <v>0</v>
      </c>
      <c r="AD547" s="46">
        <f>IF(AQ547="7",BH547,0)</f>
        <v>0</v>
      </c>
      <c r="AE547" s="46">
        <f>IF(AQ547="7",BI547,0)</f>
        <v>0</v>
      </c>
      <c r="AF547" s="46">
        <f>IF(AQ547="2",BH547,0)</f>
        <v>0</v>
      </c>
      <c r="AG547" s="46">
        <f>IF(AQ547="2",BI547,0)</f>
        <v>0</v>
      </c>
      <c r="AH547" s="46">
        <f>IF(AQ547="0",BJ547,0)</f>
        <v>0</v>
      </c>
      <c r="AI547" s="1" t="s">
        <v>1482</v>
      </c>
      <c r="AJ547" s="46">
        <f>IF(AN547=0,M547,0)</f>
        <v>0</v>
      </c>
      <c r="AK547" s="46">
        <f>IF(AN547=15,M547,0)</f>
        <v>0</v>
      </c>
      <c r="AL547" s="46">
        <f>IF(AN547=21,M547,0)</f>
        <v>0</v>
      </c>
      <c r="AN547" s="46">
        <v>21</v>
      </c>
      <c r="AO547" s="46">
        <f>J547*0</f>
        <v>0</v>
      </c>
      <c r="AP547" s="46">
        <f>J547*(1-0)</f>
        <v>0</v>
      </c>
      <c r="AQ547" s="42" t="s">
        <v>880</v>
      </c>
      <c r="AV547" s="46">
        <f>AW547+AX547</f>
        <v>0</v>
      </c>
      <c r="AW547" s="46">
        <f>I547*AO547</f>
        <v>0</v>
      </c>
      <c r="AX547" s="46">
        <f>I547*AP547</f>
        <v>0</v>
      </c>
      <c r="AY547" s="42" t="s">
        <v>179</v>
      </c>
      <c r="AZ547" s="42" t="s">
        <v>787</v>
      </c>
      <c r="BA547" s="1" t="s">
        <v>1317</v>
      </c>
      <c r="BC547" s="46">
        <f>AW547+AX547</f>
        <v>0</v>
      </c>
      <c r="BD547" s="46">
        <f>J547/(100-BE547)*100</f>
        <v>0</v>
      </c>
      <c r="BE547" s="46">
        <v>0</v>
      </c>
      <c r="BF547" s="46">
        <f>547</f>
        <v>547</v>
      </c>
      <c r="BH547" s="46">
        <f>I547*AO547</f>
        <v>0</v>
      </c>
      <c r="BI547" s="46">
        <f>I547*AP547</f>
        <v>0</v>
      </c>
      <c r="BJ547" s="46">
        <f>I547*J547</f>
        <v>0</v>
      </c>
      <c r="BK547" s="46"/>
      <c r="BL547" s="46">
        <v>11</v>
      </c>
    </row>
    <row r="548" spans="1:15" ht="15" customHeight="1">
      <c r="A548" s="10"/>
      <c r="D548" s="32" t="s">
        <v>882</v>
      </c>
      <c r="G548" s="32" t="s">
        <v>439</v>
      </c>
      <c r="I548" s="58">
        <v>11.224</v>
      </c>
      <c r="O548" s="30"/>
    </row>
    <row r="549" spans="1:64" ht="15" customHeight="1">
      <c r="A549" s="52" t="s">
        <v>1390</v>
      </c>
      <c r="B549" s="43" t="s">
        <v>1482</v>
      </c>
      <c r="C549" s="43" t="s">
        <v>0</v>
      </c>
      <c r="D549" s="61" t="s">
        <v>406</v>
      </c>
      <c r="E549" s="61"/>
      <c r="F549" s="61"/>
      <c r="G549" s="61"/>
      <c r="H549" s="43" t="s">
        <v>749</v>
      </c>
      <c r="I549" s="46">
        <v>437.736</v>
      </c>
      <c r="J549" s="46">
        <v>0</v>
      </c>
      <c r="K549" s="46">
        <f>I549*AO549</f>
        <v>0</v>
      </c>
      <c r="L549" s="46">
        <f>I549*AP549</f>
        <v>0</v>
      </c>
      <c r="M549" s="46">
        <f>I549*J549</f>
        <v>0</v>
      </c>
      <c r="N549" s="46">
        <v>0</v>
      </c>
      <c r="O549" s="6" t="s">
        <v>1149</v>
      </c>
      <c r="Z549" s="46">
        <f>IF(AQ549="5",BJ549,0)</f>
        <v>0</v>
      </c>
      <c r="AB549" s="46">
        <f>IF(AQ549="1",BH549,0)</f>
        <v>0</v>
      </c>
      <c r="AC549" s="46">
        <f>IF(AQ549="1",BI549,0)</f>
        <v>0</v>
      </c>
      <c r="AD549" s="46">
        <f>IF(AQ549="7",BH549,0)</f>
        <v>0</v>
      </c>
      <c r="AE549" s="46">
        <f>IF(AQ549="7",BI549,0)</f>
        <v>0</v>
      </c>
      <c r="AF549" s="46">
        <f>IF(AQ549="2",BH549,0)</f>
        <v>0</v>
      </c>
      <c r="AG549" s="46">
        <f>IF(AQ549="2",BI549,0)</f>
        <v>0</v>
      </c>
      <c r="AH549" s="46">
        <f>IF(AQ549="0",BJ549,0)</f>
        <v>0</v>
      </c>
      <c r="AI549" s="1" t="s">
        <v>1482</v>
      </c>
      <c r="AJ549" s="46">
        <f>IF(AN549=0,M549,0)</f>
        <v>0</v>
      </c>
      <c r="AK549" s="46">
        <f>IF(AN549=15,M549,0)</f>
        <v>0</v>
      </c>
      <c r="AL549" s="46">
        <f>IF(AN549=21,M549,0)</f>
        <v>0</v>
      </c>
      <c r="AN549" s="46">
        <v>21</v>
      </c>
      <c r="AO549" s="46">
        <f>J549*0</f>
        <v>0</v>
      </c>
      <c r="AP549" s="46">
        <f>J549*(1-0)</f>
        <v>0</v>
      </c>
      <c r="AQ549" s="42" t="s">
        <v>880</v>
      </c>
      <c r="AV549" s="46">
        <f>AW549+AX549</f>
        <v>0</v>
      </c>
      <c r="AW549" s="46">
        <f>I549*AO549</f>
        <v>0</v>
      </c>
      <c r="AX549" s="46">
        <f>I549*AP549</f>
        <v>0</v>
      </c>
      <c r="AY549" s="42" t="s">
        <v>179</v>
      </c>
      <c r="AZ549" s="42" t="s">
        <v>787</v>
      </c>
      <c r="BA549" s="1" t="s">
        <v>1317</v>
      </c>
      <c r="BC549" s="46">
        <f>AW549+AX549</f>
        <v>0</v>
      </c>
      <c r="BD549" s="46">
        <f>J549/(100-BE549)*100</f>
        <v>0</v>
      </c>
      <c r="BE549" s="46">
        <v>0</v>
      </c>
      <c r="BF549" s="46">
        <f>549</f>
        <v>549</v>
      </c>
      <c r="BH549" s="46">
        <f>I549*AO549</f>
        <v>0</v>
      </c>
      <c r="BI549" s="46">
        <f>I549*AP549</f>
        <v>0</v>
      </c>
      <c r="BJ549" s="46">
        <f>I549*J549</f>
        <v>0</v>
      </c>
      <c r="BK549" s="46"/>
      <c r="BL549" s="46">
        <v>11</v>
      </c>
    </row>
    <row r="550" spans="1:15" ht="15" customHeight="1">
      <c r="A550" s="10"/>
      <c r="D550" s="32" t="s">
        <v>1809</v>
      </c>
      <c r="G550" s="32" t="s">
        <v>73</v>
      </c>
      <c r="I550" s="58">
        <v>437.73600000000005</v>
      </c>
      <c r="O550" s="30"/>
    </row>
    <row r="551" spans="1:64" ht="15" customHeight="1">
      <c r="A551" s="52" t="s">
        <v>1087</v>
      </c>
      <c r="B551" s="43" t="s">
        <v>1482</v>
      </c>
      <c r="C551" s="43" t="s">
        <v>325</v>
      </c>
      <c r="D551" s="61" t="s">
        <v>72</v>
      </c>
      <c r="E551" s="61"/>
      <c r="F551" s="61"/>
      <c r="G551" s="61"/>
      <c r="H551" s="43" t="s">
        <v>749</v>
      </c>
      <c r="I551" s="46">
        <v>11.224</v>
      </c>
      <c r="J551" s="46">
        <v>0</v>
      </c>
      <c r="K551" s="46">
        <f>I551*AO551</f>
        <v>0</v>
      </c>
      <c r="L551" s="46">
        <f>I551*AP551</f>
        <v>0</v>
      </c>
      <c r="M551" s="46">
        <f>I551*J551</f>
        <v>0</v>
      </c>
      <c r="N551" s="46">
        <v>0</v>
      </c>
      <c r="O551" s="6" t="s">
        <v>1149</v>
      </c>
      <c r="Z551" s="46">
        <f>IF(AQ551="5",BJ551,0)</f>
        <v>0</v>
      </c>
      <c r="AB551" s="46">
        <f>IF(AQ551="1",BH551,0)</f>
        <v>0</v>
      </c>
      <c r="AC551" s="46">
        <f>IF(AQ551="1",BI551,0)</f>
        <v>0</v>
      </c>
      <c r="AD551" s="46">
        <f>IF(AQ551="7",BH551,0)</f>
        <v>0</v>
      </c>
      <c r="AE551" s="46">
        <f>IF(AQ551="7",BI551,0)</f>
        <v>0</v>
      </c>
      <c r="AF551" s="46">
        <f>IF(AQ551="2",BH551,0)</f>
        <v>0</v>
      </c>
      <c r="AG551" s="46">
        <f>IF(AQ551="2",BI551,0)</f>
        <v>0</v>
      </c>
      <c r="AH551" s="46">
        <f>IF(AQ551="0",BJ551,0)</f>
        <v>0</v>
      </c>
      <c r="AI551" s="1" t="s">
        <v>1482</v>
      </c>
      <c r="AJ551" s="46">
        <f>IF(AN551=0,M551,0)</f>
        <v>0</v>
      </c>
      <c r="AK551" s="46">
        <f>IF(AN551=15,M551,0)</f>
        <v>0</v>
      </c>
      <c r="AL551" s="46">
        <f>IF(AN551=21,M551,0)</f>
        <v>0</v>
      </c>
      <c r="AN551" s="46">
        <v>21</v>
      </c>
      <c r="AO551" s="46">
        <f>J551*0</f>
        <v>0</v>
      </c>
      <c r="AP551" s="46">
        <f>J551*(1-0)</f>
        <v>0</v>
      </c>
      <c r="AQ551" s="42" t="s">
        <v>880</v>
      </c>
      <c r="AV551" s="46">
        <f>AW551+AX551</f>
        <v>0</v>
      </c>
      <c r="AW551" s="46">
        <f>I551*AO551</f>
        <v>0</v>
      </c>
      <c r="AX551" s="46">
        <f>I551*AP551</f>
        <v>0</v>
      </c>
      <c r="AY551" s="42" t="s">
        <v>179</v>
      </c>
      <c r="AZ551" s="42" t="s">
        <v>787</v>
      </c>
      <c r="BA551" s="1" t="s">
        <v>1317</v>
      </c>
      <c r="BC551" s="46">
        <f>AW551+AX551</f>
        <v>0</v>
      </c>
      <c r="BD551" s="46">
        <f>J551/(100-BE551)*100</f>
        <v>0</v>
      </c>
      <c r="BE551" s="46">
        <v>0</v>
      </c>
      <c r="BF551" s="46">
        <f>551</f>
        <v>551</v>
      </c>
      <c r="BH551" s="46">
        <f>I551*AO551</f>
        <v>0</v>
      </c>
      <c r="BI551" s="46">
        <f>I551*AP551</f>
        <v>0</v>
      </c>
      <c r="BJ551" s="46">
        <f>I551*J551</f>
        <v>0</v>
      </c>
      <c r="BK551" s="46"/>
      <c r="BL551" s="46">
        <v>11</v>
      </c>
    </row>
    <row r="552" spans="1:64" ht="15" customHeight="1">
      <c r="A552" s="52" t="s">
        <v>263</v>
      </c>
      <c r="B552" s="43" t="s">
        <v>1482</v>
      </c>
      <c r="C552" s="43" t="s">
        <v>1222</v>
      </c>
      <c r="D552" s="61" t="s">
        <v>1055</v>
      </c>
      <c r="E552" s="61"/>
      <c r="F552" s="61"/>
      <c r="G552" s="61"/>
      <c r="H552" s="43" t="s">
        <v>1365</v>
      </c>
      <c r="I552" s="46">
        <v>69</v>
      </c>
      <c r="J552" s="46">
        <v>0</v>
      </c>
      <c r="K552" s="46">
        <f>I552*AO552</f>
        <v>0</v>
      </c>
      <c r="L552" s="46">
        <f>I552*AP552</f>
        <v>0</v>
      </c>
      <c r="M552" s="46">
        <f>I552*J552</f>
        <v>0</v>
      </c>
      <c r="N552" s="46">
        <v>0.02478</v>
      </c>
      <c r="O552" s="6" t="s">
        <v>1149</v>
      </c>
      <c r="Z552" s="46">
        <f>IF(AQ552="5",BJ552,0)</f>
        <v>0</v>
      </c>
      <c r="AB552" s="46">
        <f>IF(AQ552="1",BH552,0)</f>
        <v>0</v>
      </c>
      <c r="AC552" s="46">
        <f>IF(AQ552="1",BI552,0)</f>
        <v>0</v>
      </c>
      <c r="AD552" s="46">
        <f>IF(AQ552="7",BH552,0)</f>
        <v>0</v>
      </c>
      <c r="AE552" s="46">
        <f>IF(AQ552="7",BI552,0)</f>
        <v>0</v>
      </c>
      <c r="AF552" s="46">
        <f>IF(AQ552="2",BH552,0)</f>
        <v>0</v>
      </c>
      <c r="AG552" s="46">
        <f>IF(AQ552="2",BI552,0)</f>
        <v>0</v>
      </c>
      <c r="AH552" s="46">
        <f>IF(AQ552="0",BJ552,0)</f>
        <v>0</v>
      </c>
      <c r="AI552" s="1" t="s">
        <v>1482</v>
      </c>
      <c r="AJ552" s="46">
        <f>IF(AN552=0,M552,0)</f>
        <v>0</v>
      </c>
      <c r="AK552" s="46">
        <f>IF(AN552=15,M552,0)</f>
        <v>0</v>
      </c>
      <c r="AL552" s="46">
        <f>IF(AN552=21,M552,0)</f>
        <v>0</v>
      </c>
      <c r="AN552" s="46">
        <v>21</v>
      </c>
      <c r="AO552" s="46">
        <f>J552*0.352956636005256</f>
        <v>0</v>
      </c>
      <c r="AP552" s="46">
        <f>J552*(1-0.352956636005256)</f>
        <v>0</v>
      </c>
      <c r="AQ552" s="42" t="s">
        <v>1648</v>
      </c>
      <c r="AV552" s="46">
        <f>AW552+AX552</f>
        <v>0</v>
      </c>
      <c r="AW552" s="46">
        <f>I552*AO552</f>
        <v>0</v>
      </c>
      <c r="AX552" s="46">
        <f>I552*AP552</f>
        <v>0</v>
      </c>
      <c r="AY552" s="42" t="s">
        <v>179</v>
      </c>
      <c r="AZ552" s="42" t="s">
        <v>787</v>
      </c>
      <c r="BA552" s="1" t="s">
        <v>1317</v>
      </c>
      <c r="BC552" s="46">
        <f>AW552+AX552</f>
        <v>0</v>
      </c>
      <c r="BD552" s="46">
        <f>J552/(100-BE552)*100</f>
        <v>0</v>
      </c>
      <c r="BE552" s="46">
        <v>0</v>
      </c>
      <c r="BF552" s="46">
        <f>552</f>
        <v>552</v>
      </c>
      <c r="BH552" s="46">
        <f>I552*AO552</f>
        <v>0</v>
      </c>
      <c r="BI552" s="46">
        <f>I552*AP552</f>
        <v>0</v>
      </c>
      <c r="BJ552" s="46">
        <f>I552*J552</f>
        <v>0</v>
      </c>
      <c r="BK552" s="46"/>
      <c r="BL552" s="46">
        <v>11</v>
      </c>
    </row>
    <row r="553" spans="1:15" ht="15" customHeight="1">
      <c r="A553" s="10"/>
      <c r="D553" s="32" t="s">
        <v>705</v>
      </c>
      <c r="G553" s="32" t="s">
        <v>363</v>
      </c>
      <c r="I553" s="58">
        <v>69</v>
      </c>
      <c r="O553" s="30"/>
    </row>
    <row r="554" spans="1:64" ht="15" customHeight="1">
      <c r="A554" s="52" t="s">
        <v>775</v>
      </c>
      <c r="B554" s="43" t="s">
        <v>1482</v>
      </c>
      <c r="C554" s="43" t="s">
        <v>1393</v>
      </c>
      <c r="D554" s="61" t="s">
        <v>1564</v>
      </c>
      <c r="E554" s="61"/>
      <c r="F554" s="61"/>
      <c r="G554" s="61"/>
      <c r="H554" s="43" t="s">
        <v>1365</v>
      </c>
      <c r="I554" s="46">
        <v>46</v>
      </c>
      <c r="J554" s="46">
        <v>0</v>
      </c>
      <c r="K554" s="46">
        <f>I554*AO554</f>
        <v>0</v>
      </c>
      <c r="L554" s="46">
        <f>I554*AP554</f>
        <v>0</v>
      </c>
      <c r="M554" s="46">
        <f>I554*J554</f>
        <v>0</v>
      </c>
      <c r="N554" s="46">
        <v>0.00869</v>
      </c>
      <c r="O554" s="6" t="s">
        <v>1149</v>
      </c>
      <c r="Z554" s="46">
        <f>IF(AQ554="5",BJ554,0)</f>
        <v>0</v>
      </c>
      <c r="AB554" s="46">
        <f>IF(AQ554="1",BH554,0)</f>
        <v>0</v>
      </c>
      <c r="AC554" s="46">
        <f>IF(AQ554="1",BI554,0)</f>
        <v>0</v>
      </c>
      <c r="AD554" s="46">
        <f>IF(AQ554="7",BH554,0)</f>
        <v>0</v>
      </c>
      <c r="AE554" s="46">
        <f>IF(AQ554="7",BI554,0)</f>
        <v>0</v>
      </c>
      <c r="AF554" s="46">
        <f>IF(AQ554="2",BH554,0)</f>
        <v>0</v>
      </c>
      <c r="AG554" s="46">
        <f>IF(AQ554="2",BI554,0)</f>
        <v>0</v>
      </c>
      <c r="AH554" s="46">
        <f>IF(AQ554="0",BJ554,0)</f>
        <v>0</v>
      </c>
      <c r="AI554" s="1" t="s">
        <v>1482</v>
      </c>
      <c r="AJ554" s="46">
        <f>IF(AN554=0,M554,0)</f>
        <v>0</v>
      </c>
      <c r="AK554" s="46">
        <f>IF(AN554=15,M554,0)</f>
        <v>0</v>
      </c>
      <c r="AL554" s="46">
        <f>IF(AN554=21,M554,0)</f>
        <v>0</v>
      </c>
      <c r="AN554" s="46">
        <v>21</v>
      </c>
      <c r="AO554" s="46">
        <f>J554*0.282187147688839</f>
        <v>0</v>
      </c>
      <c r="AP554" s="46">
        <f>J554*(1-0.282187147688839)</f>
        <v>0</v>
      </c>
      <c r="AQ554" s="42" t="s">
        <v>1648</v>
      </c>
      <c r="AV554" s="46">
        <f>AW554+AX554</f>
        <v>0</v>
      </c>
      <c r="AW554" s="46">
        <f>I554*AO554</f>
        <v>0</v>
      </c>
      <c r="AX554" s="46">
        <f>I554*AP554</f>
        <v>0</v>
      </c>
      <c r="AY554" s="42" t="s">
        <v>179</v>
      </c>
      <c r="AZ554" s="42" t="s">
        <v>787</v>
      </c>
      <c r="BA554" s="1" t="s">
        <v>1317</v>
      </c>
      <c r="BC554" s="46">
        <f>AW554+AX554</f>
        <v>0</v>
      </c>
      <c r="BD554" s="46">
        <f>J554/(100-BE554)*100</f>
        <v>0</v>
      </c>
      <c r="BE554" s="46">
        <v>0</v>
      </c>
      <c r="BF554" s="46">
        <f>554</f>
        <v>554</v>
      </c>
      <c r="BH554" s="46">
        <f>I554*AO554</f>
        <v>0</v>
      </c>
      <c r="BI554" s="46">
        <f>I554*AP554</f>
        <v>0</v>
      </c>
      <c r="BJ554" s="46">
        <f>I554*J554</f>
        <v>0</v>
      </c>
      <c r="BK554" s="46"/>
      <c r="BL554" s="46">
        <v>11</v>
      </c>
    </row>
    <row r="555" spans="1:15" ht="15" customHeight="1">
      <c r="A555" s="10"/>
      <c r="D555" s="32" t="s">
        <v>1798</v>
      </c>
      <c r="G555" s="32" t="s">
        <v>1163</v>
      </c>
      <c r="I555" s="58">
        <v>46.00000000000001</v>
      </c>
      <c r="O555" s="30"/>
    </row>
    <row r="556" spans="1:64" ht="15" customHeight="1">
      <c r="A556" s="52" t="s">
        <v>1837</v>
      </c>
      <c r="B556" s="43" t="s">
        <v>1482</v>
      </c>
      <c r="C556" s="43" t="s">
        <v>1661</v>
      </c>
      <c r="D556" s="61" t="s">
        <v>1424</v>
      </c>
      <c r="E556" s="61"/>
      <c r="F556" s="61"/>
      <c r="G556" s="61"/>
      <c r="H556" s="43" t="s">
        <v>1365</v>
      </c>
      <c r="I556" s="46">
        <v>22</v>
      </c>
      <c r="J556" s="46">
        <v>0</v>
      </c>
      <c r="K556" s="46">
        <f>I556*AO556</f>
        <v>0</v>
      </c>
      <c r="L556" s="46">
        <f>I556*AP556</f>
        <v>0</v>
      </c>
      <c r="M556" s="46">
        <f>I556*J556</f>
        <v>0</v>
      </c>
      <c r="N556" s="46">
        <v>0.01271</v>
      </c>
      <c r="O556" s="6" t="s">
        <v>1149</v>
      </c>
      <c r="Z556" s="46">
        <f>IF(AQ556="5",BJ556,0)</f>
        <v>0</v>
      </c>
      <c r="AB556" s="46">
        <f>IF(AQ556="1",BH556,0)</f>
        <v>0</v>
      </c>
      <c r="AC556" s="46">
        <f>IF(AQ556="1",BI556,0)</f>
        <v>0</v>
      </c>
      <c r="AD556" s="46">
        <f>IF(AQ556="7",BH556,0)</f>
        <v>0</v>
      </c>
      <c r="AE556" s="46">
        <f>IF(AQ556="7",BI556,0)</f>
        <v>0</v>
      </c>
      <c r="AF556" s="46">
        <f>IF(AQ556="2",BH556,0)</f>
        <v>0</v>
      </c>
      <c r="AG556" s="46">
        <f>IF(AQ556="2",BI556,0)</f>
        <v>0</v>
      </c>
      <c r="AH556" s="46">
        <f>IF(AQ556="0",BJ556,0)</f>
        <v>0</v>
      </c>
      <c r="AI556" s="1" t="s">
        <v>1482</v>
      </c>
      <c r="AJ556" s="46">
        <f>IF(AN556=0,M556,0)</f>
        <v>0</v>
      </c>
      <c r="AK556" s="46">
        <f>IF(AN556=15,M556,0)</f>
        <v>0</v>
      </c>
      <c r="AL556" s="46">
        <f>IF(AN556=21,M556,0)</f>
        <v>0</v>
      </c>
      <c r="AN556" s="46">
        <v>21</v>
      </c>
      <c r="AO556" s="46">
        <f>J556*0.256844997804501</f>
        <v>0</v>
      </c>
      <c r="AP556" s="46">
        <f>J556*(1-0.256844997804501)</f>
        <v>0</v>
      </c>
      <c r="AQ556" s="42" t="s">
        <v>1648</v>
      </c>
      <c r="AV556" s="46">
        <f>AW556+AX556</f>
        <v>0</v>
      </c>
      <c r="AW556" s="46">
        <f>I556*AO556</f>
        <v>0</v>
      </c>
      <c r="AX556" s="46">
        <f>I556*AP556</f>
        <v>0</v>
      </c>
      <c r="AY556" s="42" t="s">
        <v>179</v>
      </c>
      <c r="AZ556" s="42" t="s">
        <v>787</v>
      </c>
      <c r="BA556" s="1" t="s">
        <v>1317</v>
      </c>
      <c r="BC556" s="46">
        <f>AW556+AX556</f>
        <v>0</v>
      </c>
      <c r="BD556" s="46">
        <f>J556/(100-BE556)*100</f>
        <v>0</v>
      </c>
      <c r="BE556" s="46">
        <v>0</v>
      </c>
      <c r="BF556" s="46">
        <f>556</f>
        <v>556</v>
      </c>
      <c r="BH556" s="46">
        <f>I556*AO556</f>
        <v>0</v>
      </c>
      <c r="BI556" s="46">
        <f>I556*AP556</f>
        <v>0</v>
      </c>
      <c r="BJ556" s="46">
        <f>I556*J556</f>
        <v>0</v>
      </c>
      <c r="BK556" s="46"/>
      <c r="BL556" s="46">
        <v>11</v>
      </c>
    </row>
    <row r="557" spans="1:15" ht="15" customHeight="1">
      <c r="A557" s="10"/>
      <c r="D557" s="32" t="s">
        <v>1736</v>
      </c>
      <c r="G557" s="32" t="s">
        <v>101</v>
      </c>
      <c r="I557" s="58">
        <v>22.000000000000004</v>
      </c>
      <c r="O557" s="30"/>
    </row>
    <row r="558" spans="1:47" ht="15" customHeight="1">
      <c r="A558" s="3" t="s">
        <v>1163</v>
      </c>
      <c r="B558" s="9" t="s">
        <v>1482</v>
      </c>
      <c r="C558" s="9" t="s">
        <v>472</v>
      </c>
      <c r="D558" s="64" t="s">
        <v>16</v>
      </c>
      <c r="E558" s="64"/>
      <c r="F558" s="64"/>
      <c r="G558" s="64"/>
      <c r="H558" s="41" t="s">
        <v>1537</v>
      </c>
      <c r="I558" s="41" t="s">
        <v>1537</v>
      </c>
      <c r="J558" s="41" t="s">
        <v>1537</v>
      </c>
      <c r="K558" s="50">
        <f>SUM(K559:K561)</f>
        <v>0</v>
      </c>
      <c r="L558" s="50">
        <f>SUM(L559:L561)</f>
        <v>0</v>
      </c>
      <c r="M558" s="50">
        <f>SUM(M559:M561)</f>
        <v>0</v>
      </c>
      <c r="N558" s="1" t="s">
        <v>1163</v>
      </c>
      <c r="O558" s="45" t="s">
        <v>1163</v>
      </c>
      <c r="AI558" s="1" t="s">
        <v>1482</v>
      </c>
      <c r="AS558" s="50">
        <f>SUM(AJ559:AJ561)</f>
        <v>0</v>
      </c>
      <c r="AT558" s="50">
        <f>SUM(AK559:AK561)</f>
        <v>0</v>
      </c>
      <c r="AU558" s="50">
        <f>SUM(AL559:AL561)</f>
        <v>0</v>
      </c>
    </row>
    <row r="559" spans="1:64" ht="15" customHeight="1">
      <c r="A559" s="52" t="s">
        <v>1762</v>
      </c>
      <c r="B559" s="43" t="s">
        <v>1482</v>
      </c>
      <c r="C559" s="43" t="s">
        <v>1476</v>
      </c>
      <c r="D559" s="61" t="s">
        <v>226</v>
      </c>
      <c r="E559" s="61"/>
      <c r="F559" s="61"/>
      <c r="G559" s="61"/>
      <c r="H559" s="43" t="s">
        <v>1604</v>
      </c>
      <c r="I559" s="46">
        <v>657.8</v>
      </c>
      <c r="J559" s="46">
        <v>0</v>
      </c>
      <c r="K559" s="46">
        <f>I559*AO559</f>
        <v>0</v>
      </c>
      <c r="L559" s="46">
        <f>I559*AP559</f>
        <v>0</v>
      </c>
      <c r="M559" s="46">
        <f>I559*J559</f>
        <v>0</v>
      </c>
      <c r="N559" s="46">
        <v>0</v>
      </c>
      <c r="O559" s="6" t="s">
        <v>1149</v>
      </c>
      <c r="Z559" s="46">
        <f>IF(AQ559="5",BJ559,0)</f>
        <v>0</v>
      </c>
      <c r="AB559" s="46">
        <f>IF(AQ559="1",BH559,0)</f>
        <v>0</v>
      </c>
      <c r="AC559" s="46">
        <f>IF(AQ559="1",BI559,0)</f>
        <v>0</v>
      </c>
      <c r="AD559" s="46">
        <f>IF(AQ559="7",BH559,0)</f>
        <v>0</v>
      </c>
      <c r="AE559" s="46">
        <f>IF(AQ559="7",BI559,0)</f>
        <v>0</v>
      </c>
      <c r="AF559" s="46">
        <f>IF(AQ559="2",BH559,0)</f>
        <v>0</v>
      </c>
      <c r="AG559" s="46">
        <f>IF(AQ559="2",BI559,0)</f>
        <v>0</v>
      </c>
      <c r="AH559" s="46">
        <f>IF(AQ559="0",BJ559,0)</f>
        <v>0</v>
      </c>
      <c r="AI559" s="1" t="s">
        <v>1482</v>
      </c>
      <c r="AJ559" s="46">
        <f>IF(AN559=0,M559,0)</f>
        <v>0</v>
      </c>
      <c r="AK559" s="46">
        <f>IF(AN559=15,M559,0)</f>
        <v>0</v>
      </c>
      <c r="AL559" s="46">
        <f>IF(AN559=21,M559,0)</f>
        <v>0</v>
      </c>
      <c r="AN559" s="46">
        <v>21</v>
      </c>
      <c r="AO559" s="46">
        <f>J559*0</f>
        <v>0</v>
      </c>
      <c r="AP559" s="46">
        <f>J559*(1-0)</f>
        <v>0</v>
      </c>
      <c r="AQ559" s="42" t="s">
        <v>1648</v>
      </c>
      <c r="AV559" s="46">
        <f>AW559+AX559</f>
        <v>0</v>
      </c>
      <c r="AW559" s="46">
        <f>I559*AO559</f>
        <v>0</v>
      </c>
      <c r="AX559" s="46">
        <f>I559*AP559</f>
        <v>0</v>
      </c>
      <c r="AY559" s="42" t="s">
        <v>1498</v>
      </c>
      <c r="AZ559" s="42" t="s">
        <v>787</v>
      </c>
      <c r="BA559" s="1" t="s">
        <v>1317</v>
      </c>
      <c r="BC559" s="46">
        <f>AW559+AX559</f>
        <v>0</v>
      </c>
      <c r="BD559" s="46">
        <f>J559/(100-BE559)*100</f>
        <v>0</v>
      </c>
      <c r="BE559" s="46">
        <v>0</v>
      </c>
      <c r="BF559" s="46">
        <f>559</f>
        <v>559</v>
      </c>
      <c r="BH559" s="46">
        <f>I559*AO559</f>
        <v>0</v>
      </c>
      <c r="BI559" s="46">
        <f>I559*AP559</f>
        <v>0</v>
      </c>
      <c r="BJ559" s="46">
        <f>I559*J559</f>
        <v>0</v>
      </c>
      <c r="BK559" s="46"/>
      <c r="BL559" s="46">
        <v>13</v>
      </c>
    </row>
    <row r="560" spans="1:15" ht="15" customHeight="1">
      <c r="A560" s="10"/>
      <c r="D560" s="32" t="s">
        <v>1426</v>
      </c>
      <c r="G560" s="32" t="s">
        <v>1163</v>
      </c>
      <c r="I560" s="58">
        <v>657.8000000000001</v>
      </c>
      <c r="O560" s="30"/>
    </row>
    <row r="561" spans="1:64" ht="15" customHeight="1">
      <c r="A561" s="52" t="s">
        <v>760</v>
      </c>
      <c r="B561" s="43" t="s">
        <v>1482</v>
      </c>
      <c r="C561" s="43" t="s">
        <v>585</v>
      </c>
      <c r="D561" s="61" t="s">
        <v>1696</v>
      </c>
      <c r="E561" s="61"/>
      <c r="F561" s="61"/>
      <c r="G561" s="61"/>
      <c r="H561" s="43" t="s">
        <v>1604</v>
      </c>
      <c r="I561" s="46">
        <v>205.5</v>
      </c>
      <c r="J561" s="46">
        <v>0</v>
      </c>
      <c r="K561" s="46">
        <f>I561*AO561</f>
        <v>0</v>
      </c>
      <c r="L561" s="46">
        <f>I561*AP561</f>
        <v>0</v>
      </c>
      <c r="M561" s="46">
        <f>I561*J561</f>
        <v>0</v>
      </c>
      <c r="N561" s="46">
        <v>0</v>
      </c>
      <c r="O561" s="6" t="s">
        <v>1149</v>
      </c>
      <c r="Z561" s="46">
        <f>IF(AQ561="5",BJ561,0)</f>
        <v>0</v>
      </c>
      <c r="AB561" s="46">
        <f>IF(AQ561="1",BH561,0)</f>
        <v>0</v>
      </c>
      <c r="AC561" s="46">
        <f>IF(AQ561="1",BI561,0)</f>
        <v>0</v>
      </c>
      <c r="AD561" s="46">
        <f>IF(AQ561="7",BH561,0)</f>
        <v>0</v>
      </c>
      <c r="AE561" s="46">
        <f>IF(AQ561="7",BI561,0)</f>
        <v>0</v>
      </c>
      <c r="AF561" s="46">
        <f>IF(AQ561="2",BH561,0)</f>
        <v>0</v>
      </c>
      <c r="AG561" s="46">
        <f>IF(AQ561="2",BI561,0)</f>
        <v>0</v>
      </c>
      <c r="AH561" s="46">
        <f>IF(AQ561="0",BJ561,0)</f>
        <v>0</v>
      </c>
      <c r="AI561" s="1" t="s">
        <v>1482</v>
      </c>
      <c r="AJ561" s="46">
        <f>IF(AN561=0,M561,0)</f>
        <v>0</v>
      </c>
      <c r="AK561" s="46">
        <f>IF(AN561=15,M561,0)</f>
        <v>0</v>
      </c>
      <c r="AL561" s="46">
        <f>IF(AN561=21,M561,0)</f>
        <v>0</v>
      </c>
      <c r="AN561" s="46">
        <v>21</v>
      </c>
      <c r="AO561" s="46">
        <f>J561*0</f>
        <v>0</v>
      </c>
      <c r="AP561" s="46">
        <f>J561*(1-0)</f>
        <v>0</v>
      </c>
      <c r="AQ561" s="42" t="s">
        <v>1648</v>
      </c>
      <c r="AV561" s="46">
        <f>AW561+AX561</f>
        <v>0</v>
      </c>
      <c r="AW561" s="46">
        <f>I561*AO561</f>
        <v>0</v>
      </c>
      <c r="AX561" s="46">
        <f>I561*AP561</f>
        <v>0</v>
      </c>
      <c r="AY561" s="42" t="s">
        <v>1498</v>
      </c>
      <c r="AZ561" s="42" t="s">
        <v>787</v>
      </c>
      <c r="BA561" s="1" t="s">
        <v>1317</v>
      </c>
      <c r="BC561" s="46">
        <f>AW561+AX561</f>
        <v>0</v>
      </c>
      <c r="BD561" s="46">
        <f>J561/(100-BE561)*100</f>
        <v>0</v>
      </c>
      <c r="BE561" s="46">
        <v>0</v>
      </c>
      <c r="BF561" s="46">
        <f>561</f>
        <v>561</v>
      </c>
      <c r="BH561" s="46">
        <f>I561*AO561</f>
        <v>0</v>
      </c>
      <c r="BI561" s="46">
        <f>I561*AP561</f>
        <v>0</v>
      </c>
      <c r="BJ561" s="46">
        <f>I561*J561</f>
        <v>0</v>
      </c>
      <c r="BK561" s="46"/>
      <c r="BL561" s="46">
        <v>13</v>
      </c>
    </row>
    <row r="562" spans="1:15" ht="15" customHeight="1">
      <c r="A562" s="10"/>
      <c r="D562" s="32" t="s">
        <v>584</v>
      </c>
      <c r="G562" s="32" t="s">
        <v>1163</v>
      </c>
      <c r="I562" s="58">
        <v>103.50000000000001</v>
      </c>
      <c r="O562" s="30"/>
    </row>
    <row r="563" spans="1:15" ht="15" customHeight="1">
      <c r="A563" s="10"/>
      <c r="D563" s="32" t="s">
        <v>428</v>
      </c>
      <c r="G563" s="32" t="s">
        <v>1163</v>
      </c>
      <c r="I563" s="58">
        <v>69</v>
      </c>
      <c r="O563" s="30"/>
    </row>
    <row r="564" spans="1:15" ht="15" customHeight="1">
      <c r="A564" s="10"/>
      <c r="D564" s="32" t="s">
        <v>720</v>
      </c>
      <c r="G564" s="32" t="s">
        <v>1163</v>
      </c>
      <c r="I564" s="58">
        <v>33</v>
      </c>
      <c r="O564" s="30"/>
    </row>
    <row r="565" spans="1:47" ht="15" customHeight="1">
      <c r="A565" s="3" t="s">
        <v>1163</v>
      </c>
      <c r="B565" s="9" t="s">
        <v>1482</v>
      </c>
      <c r="C565" s="9" t="s">
        <v>639</v>
      </c>
      <c r="D565" s="64" t="s">
        <v>1434</v>
      </c>
      <c r="E565" s="64"/>
      <c r="F565" s="64"/>
      <c r="G565" s="64"/>
      <c r="H565" s="41" t="s">
        <v>1537</v>
      </c>
      <c r="I565" s="41" t="s">
        <v>1537</v>
      </c>
      <c r="J565" s="41" t="s">
        <v>1537</v>
      </c>
      <c r="K565" s="50">
        <f>SUM(K566:K568)</f>
        <v>0</v>
      </c>
      <c r="L565" s="50">
        <f>SUM(L566:L568)</f>
        <v>0</v>
      </c>
      <c r="M565" s="50">
        <f>SUM(M566:M568)</f>
        <v>0</v>
      </c>
      <c r="N565" s="1" t="s">
        <v>1163</v>
      </c>
      <c r="O565" s="45" t="s">
        <v>1163</v>
      </c>
      <c r="AI565" s="1" t="s">
        <v>1482</v>
      </c>
      <c r="AS565" s="50">
        <f>SUM(AJ566:AJ568)</f>
        <v>0</v>
      </c>
      <c r="AT565" s="50">
        <f>SUM(AK566:AK568)</f>
        <v>0</v>
      </c>
      <c r="AU565" s="50">
        <f>SUM(AL566:AL568)</f>
        <v>0</v>
      </c>
    </row>
    <row r="566" spans="1:64" ht="15" customHeight="1">
      <c r="A566" s="52" t="s">
        <v>1747</v>
      </c>
      <c r="B566" s="43" t="s">
        <v>1482</v>
      </c>
      <c r="C566" s="43" t="s">
        <v>201</v>
      </c>
      <c r="D566" s="61" t="s">
        <v>494</v>
      </c>
      <c r="E566" s="61"/>
      <c r="F566" s="61"/>
      <c r="G566" s="61"/>
      <c r="H566" s="43" t="s">
        <v>1629</v>
      </c>
      <c r="I566" s="46">
        <v>1459.12</v>
      </c>
      <c r="J566" s="46">
        <v>0</v>
      </c>
      <c r="K566" s="46">
        <f>I566*AO566</f>
        <v>0</v>
      </c>
      <c r="L566" s="46">
        <f>I566*AP566</f>
        <v>0</v>
      </c>
      <c r="M566" s="46">
        <f>I566*J566</f>
        <v>0</v>
      </c>
      <c r="N566" s="46">
        <v>0.00086</v>
      </c>
      <c r="O566" s="6" t="s">
        <v>1149</v>
      </c>
      <c r="Z566" s="46">
        <f>IF(AQ566="5",BJ566,0)</f>
        <v>0</v>
      </c>
      <c r="AB566" s="46">
        <f>IF(AQ566="1",BH566,0)</f>
        <v>0</v>
      </c>
      <c r="AC566" s="46">
        <f>IF(AQ566="1",BI566,0)</f>
        <v>0</v>
      </c>
      <c r="AD566" s="46">
        <f>IF(AQ566="7",BH566,0)</f>
        <v>0</v>
      </c>
      <c r="AE566" s="46">
        <f>IF(AQ566="7",BI566,0)</f>
        <v>0</v>
      </c>
      <c r="AF566" s="46">
        <f>IF(AQ566="2",BH566,0)</f>
        <v>0</v>
      </c>
      <c r="AG566" s="46">
        <f>IF(AQ566="2",BI566,0)</f>
        <v>0</v>
      </c>
      <c r="AH566" s="46">
        <f>IF(AQ566="0",BJ566,0)</f>
        <v>0</v>
      </c>
      <c r="AI566" s="1" t="s">
        <v>1482</v>
      </c>
      <c r="AJ566" s="46">
        <f>IF(AN566=0,M566,0)</f>
        <v>0</v>
      </c>
      <c r="AK566" s="46">
        <f>IF(AN566=15,M566,0)</f>
        <v>0</v>
      </c>
      <c r="AL566" s="46">
        <f>IF(AN566=21,M566,0)</f>
        <v>0</v>
      </c>
      <c r="AN566" s="46">
        <v>21</v>
      </c>
      <c r="AO566" s="46">
        <f>J566*0.0997231833910035</f>
        <v>0</v>
      </c>
      <c r="AP566" s="46">
        <f>J566*(1-0.0997231833910035)</f>
        <v>0</v>
      </c>
      <c r="AQ566" s="42" t="s">
        <v>1648</v>
      </c>
      <c r="AV566" s="46">
        <f>AW566+AX566</f>
        <v>0</v>
      </c>
      <c r="AW566" s="46">
        <f>I566*AO566</f>
        <v>0</v>
      </c>
      <c r="AX566" s="46">
        <f>I566*AP566</f>
        <v>0</v>
      </c>
      <c r="AY566" s="42" t="s">
        <v>1180</v>
      </c>
      <c r="AZ566" s="42" t="s">
        <v>787</v>
      </c>
      <c r="BA566" s="1" t="s">
        <v>1317</v>
      </c>
      <c r="BC566" s="46">
        <f>AW566+AX566</f>
        <v>0</v>
      </c>
      <c r="BD566" s="46">
        <f>J566/(100-BE566)*100</f>
        <v>0</v>
      </c>
      <c r="BE566" s="46">
        <v>0</v>
      </c>
      <c r="BF566" s="46">
        <f>566</f>
        <v>566</v>
      </c>
      <c r="BH566" s="46">
        <f>I566*AO566</f>
        <v>0</v>
      </c>
      <c r="BI566" s="46">
        <f>I566*AP566</f>
        <v>0</v>
      </c>
      <c r="BJ566" s="46">
        <f>I566*J566</f>
        <v>0</v>
      </c>
      <c r="BK566" s="46"/>
      <c r="BL566" s="46">
        <v>15</v>
      </c>
    </row>
    <row r="567" spans="1:15" ht="15" customHeight="1">
      <c r="A567" s="10"/>
      <c r="D567" s="32" t="s">
        <v>53</v>
      </c>
      <c r="G567" s="32" t="s">
        <v>1163</v>
      </c>
      <c r="I567" s="58">
        <v>1459.1200000000001</v>
      </c>
      <c r="O567" s="30"/>
    </row>
    <row r="568" spans="1:64" ht="15" customHeight="1">
      <c r="A568" s="52" t="s">
        <v>896</v>
      </c>
      <c r="B568" s="43" t="s">
        <v>1482</v>
      </c>
      <c r="C568" s="43" t="s">
        <v>619</v>
      </c>
      <c r="D568" s="61" t="s">
        <v>621</v>
      </c>
      <c r="E568" s="61"/>
      <c r="F568" s="61"/>
      <c r="G568" s="61"/>
      <c r="H568" s="43" t="s">
        <v>1629</v>
      </c>
      <c r="I568" s="46">
        <v>1459.12</v>
      </c>
      <c r="J568" s="46">
        <v>0</v>
      </c>
      <c r="K568" s="46">
        <f>I568*AO568</f>
        <v>0</v>
      </c>
      <c r="L568" s="46">
        <f>I568*AP568</f>
        <v>0</v>
      </c>
      <c r="M568" s="46">
        <f>I568*J568</f>
        <v>0</v>
      </c>
      <c r="N568" s="46">
        <v>0</v>
      </c>
      <c r="O568" s="6" t="s">
        <v>1149</v>
      </c>
      <c r="Z568" s="46">
        <f>IF(AQ568="5",BJ568,0)</f>
        <v>0</v>
      </c>
      <c r="AB568" s="46">
        <f>IF(AQ568="1",BH568,0)</f>
        <v>0</v>
      </c>
      <c r="AC568" s="46">
        <f>IF(AQ568="1",BI568,0)</f>
        <v>0</v>
      </c>
      <c r="AD568" s="46">
        <f>IF(AQ568="7",BH568,0)</f>
        <v>0</v>
      </c>
      <c r="AE568" s="46">
        <f>IF(AQ568="7",BI568,0)</f>
        <v>0</v>
      </c>
      <c r="AF568" s="46">
        <f>IF(AQ568="2",BH568,0)</f>
        <v>0</v>
      </c>
      <c r="AG568" s="46">
        <f>IF(AQ568="2",BI568,0)</f>
        <v>0</v>
      </c>
      <c r="AH568" s="46">
        <f>IF(AQ568="0",BJ568,0)</f>
        <v>0</v>
      </c>
      <c r="AI568" s="1" t="s">
        <v>1482</v>
      </c>
      <c r="AJ568" s="46">
        <f>IF(AN568=0,M568,0)</f>
        <v>0</v>
      </c>
      <c r="AK568" s="46">
        <f>IF(AN568=15,M568,0)</f>
        <v>0</v>
      </c>
      <c r="AL568" s="46">
        <f>IF(AN568=21,M568,0)</f>
        <v>0</v>
      </c>
      <c r="AN568" s="46">
        <v>21</v>
      </c>
      <c r="AO568" s="46">
        <f>J568*0</f>
        <v>0</v>
      </c>
      <c r="AP568" s="46">
        <f>J568*(1-0)</f>
        <v>0</v>
      </c>
      <c r="AQ568" s="42" t="s">
        <v>1648</v>
      </c>
      <c r="AV568" s="46">
        <f>AW568+AX568</f>
        <v>0</v>
      </c>
      <c r="AW568" s="46">
        <f>I568*AO568</f>
        <v>0</v>
      </c>
      <c r="AX568" s="46">
        <f>I568*AP568</f>
        <v>0</v>
      </c>
      <c r="AY568" s="42" t="s">
        <v>1180</v>
      </c>
      <c r="AZ568" s="42" t="s">
        <v>787</v>
      </c>
      <c r="BA568" s="1" t="s">
        <v>1317</v>
      </c>
      <c r="BC568" s="46">
        <f>AW568+AX568</f>
        <v>0</v>
      </c>
      <c r="BD568" s="46">
        <f>J568/(100-BE568)*100</f>
        <v>0</v>
      </c>
      <c r="BE568" s="46">
        <v>0</v>
      </c>
      <c r="BF568" s="46">
        <f>568</f>
        <v>568</v>
      </c>
      <c r="BH568" s="46">
        <f>I568*AO568</f>
        <v>0</v>
      </c>
      <c r="BI568" s="46">
        <f>I568*AP568</f>
        <v>0</v>
      </c>
      <c r="BJ568" s="46">
        <f>I568*J568</f>
        <v>0</v>
      </c>
      <c r="BK568" s="46"/>
      <c r="BL568" s="46">
        <v>15</v>
      </c>
    </row>
    <row r="569" spans="1:15" ht="15" customHeight="1">
      <c r="A569" s="10"/>
      <c r="D569" s="32" t="s">
        <v>53</v>
      </c>
      <c r="G569" s="32" t="s">
        <v>1163</v>
      </c>
      <c r="I569" s="58">
        <v>1459.1200000000001</v>
      </c>
      <c r="O569" s="30"/>
    </row>
    <row r="570" spans="1:47" ht="15" customHeight="1">
      <c r="A570" s="3" t="s">
        <v>1163</v>
      </c>
      <c r="B570" s="9" t="s">
        <v>1482</v>
      </c>
      <c r="C570" s="9" t="s">
        <v>153</v>
      </c>
      <c r="D570" s="64" t="s">
        <v>1379</v>
      </c>
      <c r="E570" s="64"/>
      <c r="F570" s="64"/>
      <c r="G570" s="64"/>
      <c r="H570" s="41" t="s">
        <v>1537</v>
      </c>
      <c r="I570" s="41" t="s">
        <v>1537</v>
      </c>
      <c r="J570" s="41" t="s">
        <v>1537</v>
      </c>
      <c r="K570" s="50">
        <f>SUM(K571:K574)</f>
        <v>0</v>
      </c>
      <c r="L570" s="50">
        <f>SUM(L571:L574)</f>
        <v>0</v>
      </c>
      <c r="M570" s="50">
        <f>SUM(M571:M574)</f>
        <v>0</v>
      </c>
      <c r="N570" s="1" t="s">
        <v>1163</v>
      </c>
      <c r="O570" s="45" t="s">
        <v>1163</v>
      </c>
      <c r="AI570" s="1" t="s">
        <v>1482</v>
      </c>
      <c r="AS570" s="50">
        <f>SUM(AJ571:AJ574)</f>
        <v>0</v>
      </c>
      <c r="AT570" s="50">
        <f>SUM(AK571:AK574)</f>
        <v>0</v>
      </c>
      <c r="AU570" s="50">
        <f>SUM(AL571:AL574)</f>
        <v>0</v>
      </c>
    </row>
    <row r="571" spans="1:64" ht="15" customHeight="1">
      <c r="A571" s="52" t="s">
        <v>1255</v>
      </c>
      <c r="B571" s="43" t="s">
        <v>1482</v>
      </c>
      <c r="C571" s="43" t="s">
        <v>23</v>
      </c>
      <c r="D571" s="61" t="s">
        <v>1389</v>
      </c>
      <c r="E571" s="61"/>
      <c r="F571" s="61"/>
      <c r="G571" s="61"/>
      <c r="H571" s="43" t="s">
        <v>1604</v>
      </c>
      <c r="I571" s="46">
        <v>150.13</v>
      </c>
      <c r="J571" s="46">
        <v>0</v>
      </c>
      <c r="K571" s="46">
        <f>I571*AO571</f>
        <v>0</v>
      </c>
      <c r="L571" s="46">
        <f>I571*AP571</f>
        <v>0</v>
      </c>
      <c r="M571" s="46">
        <f>I571*J571</f>
        <v>0</v>
      </c>
      <c r="N571" s="46">
        <v>0</v>
      </c>
      <c r="O571" s="6" t="s">
        <v>1149</v>
      </c>
      <c r="Z571" s="46">
        <f>IF(AQ571="5",BJ571,0)</f>
        <v>0</v>
      </c>
      <c r="AB571" s="46">
        <f>IF(AQ571="1",BH571,0)</f>
        <v>0</v>
      </c>
      <c r="AC571" s="46">
        <f>IF(AQ571="1",BI571,0)</f>
        <v>0</v>
      </c>
      <c r="AD571" s="46">
        <f>IF(AQ571="7",BH571,0)</f>
        <v>0</v>
      </c>
      <c r="AE571" s="46">
        <f>IF(AQ571="7",BI571,0)</f>
        <v>0</v>
      </c>
      <c r="AF571" s="46">
        <f>IF(AQ571="2",BH571,0)</f>
        <v>0</v>
      </c>
      <c r="AG571" s="46">
        <f>IF(AQ571="2",BI571,0)</f>
        <v>0</v>
      </c>
      <c r="AH571" s="46">
        <f>IF(AQ571="0",BJ571,0)</f>
        <v>0</v>
      </c>
      <c r="AI571" s="1" t="s">
        <v>1482</v>
      </c>
      <c r="AJ571" s="46">
        <f>IF(AN571=0,M571,0)</f>
        <v>0</v>
      </c>
      <c r="AK571" s="46">
        <f>IF(AN571=15,M571,0)</f>
        <v>0</v>
      </c>
      <c r="AL571" s="46">
        <f>IF(AN571=21,M571,0)</f>
        <v>0</v>
      </c>
      <c r="AN571" s="46">
        <v>21</v>
      </c>
      <c r="AO571" s="46">
        <f>J571*0</f>
        <v>0</v>
      </c>
      <c r="AP571" s="46">
        <f>J571*(1-0)</f>
        <v>0</v>
      </c>
      <c r="AQ571" s="42" t="s">
        <v>1648</v>
      </c>
      <c r="AV571" s="46">
        <f>AW571+AX571</f>
        <v>0</v>
      </c>
      <c r="AW571" s="46">
        <f>I571*AO571</f>
        <v>0</v>
      </c>
      <c r="AX571" s="46">
        <f>I571*AP571</f>
        <v>0</v>
      </c>
      <c r="AY571" s="42" t="s">
        <v>1541</v>
      </c>
      <c r="AZ571" s="42" t="s">
        <v>787</v>
      </c>
      <c r="BA571" s="1" t="s">
        <v>1317</v>
      </c>
      <c r="BC571" s="46">
        <f>AW571+AX571</f>
        <v>0</v>
      </c>
      <c r="BD571" s="46">
        <f>J571/(100-BE571)*100</f>
        <v>0</v>
      </c>
      <c r="BE571" s="46">
        <v>0</v>
      </c>
      <c r="BF571" s="46">
        <f>571</f>
        <v>571</v>
      </c>
      <c r="BH571" s="46">
        <f>I571*AO571</f>
        <v>0</v>
      </c>
      <c r="BI571" s="46">
        <f>I571*AP571</f>
        <v>0</v>
      </c>
      <c r="BJ571" s="46">
        <f>I571*J571</f>
        <v>0</v>
      </c>
      <c r="BK571" s="46"/>
      <c r="BL571" s="46">
        <v>16</v>
      </c>
    </row>
    <row r="572" spans="1:15" ht="15" customHeight="1">
      <c r="A572" s="10"/>
      <c r="D572" s="32" t="s">
        <v>1702</v>
      </c>
      <c r="G572" s="32" t="s">
        <v>1398</v>
      </c>
      <c r="I572" s="58">
        <v>37.89</v>
      </c>
      <c r="O572" s="30"/>
    </row>
    <row r="573" spans="1:15" ht="15" customHeight="1">
      <c r="A573" s="10"/>
      <c r="D573" s="32" t="s">
        <v>1694</v>
      </c>
      <c r="G573" s="32" t="s">
        <v>386</v>
      </c>
      <c r="I573" s="58">
        <v>112.24000000000001</v>
      </c>
      <c r="O573" s="30"/>
    </row>
    <row r="574" spans="1:64" ht="15" customHeight="1">
      <c r="A574" s="52" t="s">
        <v>742</v>
      </c>
      <c r="B574" s="43" t="s">
        <v>1482</v>
      </c>
      <c r="C574" s="43" t="s">
        <v>758</v>
      </c>
      <c r="D574" s="61" t="s">
        <v>890</v>
      </c>
      <c r="E574" s="61"/>
      <c r="F574" s="61"/>
      <c r="G574" s="61"/>
      <c r="H574" s="43" t="s">
        <v>1604</v>
      </c>
      <c r="I574" s="46">
        <v>4503.9</v>
      </c>
      <c r="J574" s="46">
        <v>0</v>
      </c>
      <c r="K574" s="46">
        <f>I574*AO574</f>
        <v>0</v>
      </c>
      <c r="L574" s="46">
        <f>I574*AP574</f>
        <v>0</v>
      </c>
      <c r="M574" s="46">
        <f>I574*J574</f>
        <v>0</v>
      </c>
      <c r="N574" s="46">
        <v>0</v>
      </c>
      <c r="O574" s="6" t="s">
        <v>1149</v>
      </c>
      <c r="Z574" s="46">
        <f>IF(AQ574="5",BJ574,0)</f>
        <v>0</v>
      </c>
      <c r="AB574" s="46">
        <f>IF(AQ574="1",BH574,0)</f>
        <v>0</v>
      </c>
      <c r="AC574" s="46">
        <f>IF(AQ574="1",BI574,0)</f>
        <v>0</v>
      </c>
      <c r="AD574" s="46">
        <f>IF(AQ574="7",BH574,0)</f>
        <v>0</v>
      </c>
      <c r="AE574" s="46">
        <f>IF(AQ574="7",BI574,0)</f>
        <v>0</v>
      </c>
      <c r="AF574" s="46">
        <f>IF(AQ574="2",BH574,0)</f>
        <v>0</v>
      </c>
      <c r="AG574" s="46">
        <f>IF(AQ574="2",BI574,0)</f>
        <v>0</v>
      </c>
      <c r="AH574" s="46">
        <f>IF(AQ574="0",BJ574,0)</f>
        <v>0</v>
      </c>
      <c r="AI574" s="1" t="s">
        <v>1482</v>
      </c>
      <c r="AJ574" s="46">
        <f>IF(AN574=0,M574,0)</f>
        <v>0</v>
      </c>
      <c r="AK574" s="46">
        <f>IF(AN574=15,M574,0)</f>
        <v>0</v>
      </c>
      <c r="AL574" s="46">
        <f>IF(AN574=21,M574,0)</f>
        <v>0</v>
      </c>
      <c r="AN574" s="46">
        <v>21</v>
      </c>
      <c r="AO574" s="46">
        <f>J574*0</f>
        <v>0</v>
      </c>
      <c r="AP574" s="46">
        <f>J574*(1-0)</f>
        <v>0</v>
      </c>
      <c r="AQ574" s="42" t="s">
        <v>1648</v>
      </c>
      <c r="AV574" s="46">
        <f>AW574+AX574</f>
        <v>0</v>
      </c>
      <c r="AW574" s="46">
        <f>I574*AO574</f>
        <v>0</v>
      </c>
      <c r="AX574" s="46">
        <f>I574*AP574</f>
        <v>0</v>
      </c>
      <c r="AY574" s="42" t="s">
        <v>1541</v>
      </c>
      <c r="AZ574" s="42" t="s">
        <v>787</v>
      </c>
      <c r="BA574" s="1" t="s">
        <v>1317</v>
      </c>
      <c r="BC574" s="46">
        <f>AW574+AX574</f>
        <v>0</v>
      </c>
      <c r="BD574" s="46">
        <f>J574/(100-BE574)*100</f>
        <v>0</v>
      </c>
      <c r="BE574" s="46">
        <v>0</v>
      </c>
      <c r="BF574" s="46">
        <f>574</f>
        <v>574</v>
      </c>
      <c r="BH574" s="46">
        <f>I574*AO574</f>
        <v>0</v>
      </c>
      <c r="BI574" s="46">
        <f>I574*AP574</f>
        <v>0</v>
      </c>
      <c r="BJ574" s="46">
        <f>I574*J574</f>
        <v>0</v>
      </c>
      <c r="BK574" s="46"/>
      <c r="BL574" s="46">
        <v>16</v>
      </c>
    </row>
    <row r="575" spans="1:15" ht="15" customHeight="1">
      <c r="A575" s="10"/>
      <c r="D575" s="32" t="s">
        <v>1358</v>
      </c>
      <c r="G575" s="32" t="s">
        <v>1688</v>
      </c>
      <c r="I575" s="58">
        <v>4503.900000000001</v>
      </c>
      <c r="O575" s="30"/>
    </row>
    <row r="576" spans="1:47" ht="15" customHeight="1">
      <c r="A576" s="3" t="s">
        <v>1163</v>
      </c>
      <c r="B576" s="9" t="s">
        <v>1482</v>
      </c>
      <c r="C576" s="9" t="s">
        <v>1169</v>
      </c>
      <c r="D576" s="64" t="s">
        <v>225</v>
      </c>
      <c r="E576" s="64"/>
      <c r="F576" s="64"/>
      <c r="G576" s="64"/>
      <c r="H576" s="41" t="s">
        <v>1537</v>
      </c>
      <c r="I576" s="41" t="s">
        <v>1537</v>
      </c>
      <c r="J576" s="41" t="s">
        <v>1537</v>
      </c>
      <c r="K576" s="50">
        <f>SUM(K577:K579)</f>
        <v>0</v>
      </c>
      <c r="L576" s="50">
        <f>SUM(L577:L579)</f>
        <v>0</v>
      </c>
      <c r="M576" s="50">
        <f>SUM(M577:M579)</f>
        <v>0</v>
      </c>
      <c r="N576" s="1" t="s">
        <v>1163</v>
      </c>
      <c r="O576" s="45" t="s">
        <v>1163</v>
      </c>
      <c r="AI576" s="1" t="s">
        <v>1482</v>
      </c>
      <c r="AS576" s="50">
        <f>SUM(AJ577:AJ579)</f>
        <v>0</v>
      </c>
      <c r="AT576" s="50">
        <f>SUM(AK577:AK579)</f>
        <v>0</v>
      </c>
      <c r="AU576" s="50">
        <f>SUM(AL577:AL579)</f>
        <v>0</v>
      </c>
    </row>
    <row r="577" spans="1:64" ht="15" customHeight="1">
      <c r="A577" s="52" t="s">
        <v>1641</v>
      </c>
      <c r="B577" s="43" t="s">
        <v>1482</v>
      </c>
      <c r="C577" s="43" t="s">
        <v>1450</v>
      </c>
      <c r="D577" s="61" t="s">
        <v>47</v>
      </c>
      <c r="E577" s="61"/>
      <c r="F577" s="61"/>
      <c r="G577" s="61"/>
      <c r="H577" s="43" t="s">
        <v>1604</v>
      </c>
      <c r="I577" s="46">
        <v>113.85</v>
      </c>
      <c r="J577" s="46">
        <v>0</v>
      </c>
      <c r="K577" s="46">
        <f>I577*AO577</f>
        <v>0</v>
      </c>
      <c r="L577" s="46">
        <f>I577*AP577</f>
        <v>0</v>
      </c>
      <c r="M577" s="46">
        <f>I577*J577</f>
        <v>0</v>
      </c>
      <c r="N577" s="46">
        <v>1.7</v>
      </c>
      <c r="O577" s="6" t="s">
        <v>1149</v>
      </c>
      <c r="Z577" s="46">
        <f>IF(AQ577="5",BJ577,0)</f>
        <v>0</v>
      </c>
      <c r="AB577" s="46">
        <f>IF(AQ577="1",BH577,0)</f>
        <v>0</v>
      </c>
      <c r="AC577" s="46">
        <f>IF(AQ577="1",BI577,0)</f>
        <v>0</v>
      </c>
      <c r="AD577" s="46">
        <f>IF(AQ577="7",BH577,0)</f>
        <v>0</v>
      </c>
      <c r="AE577" s="46">
        <f>IF(AQ577="7",BI577,0)</f>
        <v>0</v>
      </c>
      <c r="AF577" s="46">
        <f>IF(AQ577="2",BH577,0)</f>
        <v>0</v>
      </c>
      <c r="AG577" s="46">
        <f>IF(AQ577="2",BI577,0)</f>
        <v>0</v>
      </c>
      <c r="AH577" s="46">
        <f>IF(AQ577="0",BJ577,0)</f>
        <v>0</v>
      </c>
      <c r="AI577" s="1" t="s">
        <v>1482</v>
      </c>
      <c r="AJ577" s="46">
        <f>IF(AN577=0,M577,0)</f>
        <v>0</v>
      </c>
      <c r="AK577" s="46">
        <f>IF(AN577=15,M577,0)</f>
        <v>0</v>
      </c>
      <c r="AL577" s="46">
        <f>IF(AN577=21,M577,0)</f>
        <v>0</v>
      </c>
      <c r="AN577" s="46">
        <v>21</v>
      </c>
      <c r="AO577" s="46">
        <f>J577*0.503380669897275</f>
        <v>0</v>
      </c>
      <c r="AP577" s="46">
        <f>J577*(1-0.503380669897275)</f>
        <v>0</v>
      </c>
      <c r="AQ577" s="42" t="s">
        <v>1648</v>
      </c>
      <c r="AV577" s="46">
        <f>AW577+AX577</f>
        <v>0</v>
      </c>
      <c r="AW577" s="46">
        <f>I577*AO577</f>
        <v>0</v>
      </c>
      <c r="AX577" s="46">
        <f>I577*AP577</f>
        <v>0</v>
      </c>
      <c r="AY577" s="42" t="s">
        <v>319</v>
      </c>
      <c r="AZ577" s="42" t="s">
        <v>787</v>
      </c>
      <c r="BA577" s="1" t="s">
        <v>1317</v>
      </c>
      <c r="BC577" s="46">
        <f>AW577+AX577</f>
        <v>0</v>
      </c>
      <c r="BD577" s="46">
        <f>J577/(100-BE577)*100</f>
        <v>0</v>
      </c>
      <c r="BE577" s="46">
        <v>0</v>
      </c>
      <c r="BF577" s="46">
        <f>577</f>
        <v>577</v>
      </c>
      <c r="BH577" s="46">
        <f>I577*AO577</f>
        <v>0</v>
      </c>
      <c r="BI577" s="46">
        <f>I577*AP577</f>
        <v>0</v>
      </c>
      <c r="BJ577" s="46">
        <f>I577*J577</f>
        <v>0</v>
      </c>
      <c r="BK577" s="46"/>
      <c r="BL577" s="46">
        <v>17</v>
      </c>
    </row>
    <row r="578" spans="1:15" ht="15" customHeight="1">
      <c r="A578" s="10"/>
      <c r="D578" s="32" t="s">
        <v>629</v>
      </c>
      <c r="G578" s="32" t="s">
        <v>546</v>
      </c>
      <c r="I578" s="58">
        <v>113.85000000000001</v>
      </c>
      <c r="O578" s="30"/>
    </row>
    <row r="579" spans="1:64" ht="15" customHeight="1">
      <c r="A579" s="52" t="s">
        <v>660</v>
      </c>
      <c r="B579" s="43" t="s">
        <v>1482</v>
      </c>
      <c r="C579" s="43" t="s">
        <v>1227</v>
      </c>
      <c r="D579" s="61" t="s">
        <v>862</v>
      </c>
      <c r="E579" s="61"/>
      <c r="F579" s="61"/>
      <c r="G579" s="61"/>
      <c r="H579" s="43" t="s">
        <v>1604</v>
      </c>
      <c r="I579" s="46">
        <v>619.91</v>
      </c>
      <c r="J579" s="46">
        <v>0</v>
      </c>
      <c r="K579" s="46">
        <f>I579*AO579</f>
        <v>0</v>
      </c>
      <c r="L579" s="46">
        <f>I579*AP579</f>
        <v>0</v>
      </c>
      <c r="M579" s="46">
        <f>I579*J579</f>
        <v>0</v>
      </c>
      <c r="N579" s="46">
        <v>0</v>
      </c>
      <c r="O579" s="6" t="s">
        <v>1149</v>
      </c>
      <c r="Z579" s="46">
        <f>IF(AQ579="5",BJ579,0)</f>
        <v>0</v>
      </c>
      <c r="AB579" s="46">
        <f>IF(AQ579="1",BH579,0)</f>
        <v>0</v>
      </c>
      <c r="AC579" s="46">
        <f>IF(AQ579="1",BI579,0)</f>
        <v>0</v>
      </c>
      <c r="AD579" s="46">
        <f>IF(AQ579="7",BH579,0)</f>
        <v>0</v>
      </c>
      <c r="AE579" s="46">
        <f>IF(AQ579="7",BI579,0)</f>
        <v>0</v>
      </c>
      <c r="AF579" s="46">
        <f>IF(AQ579="2",BH579,0)</f>
        <v>0</v>
      </c>
      <c r="AG579" s="46">
        <f>IF(AQ579="2",BI579,0)</f>
        <v>0</v>
      </c>
      <c r="AH579" s="46">
        <f>IF(AQ579="0",BJ579,0)</f>
        <v>0</v>
      </c>
      <c r="AI579" s="1" t="s">
        <v>1482</v>
      </c>
      <c r="AJ579" s="46">
        <f>IF(AN579=0,M579,0)</f>
        <v>0</v>
      </c>
      <c r="AK579" s="46">
        <f>IF(AN579=15,M579,0)</f>
        <v>0</v>
      </c>
      <c r="AL579" s="46">
        <f>IF(AN579=21,M579,0)</f>
        <v>0</v>
      </c>
      <c r="AN579" s="46">
        <v>21</v>
      </c>
      <c r="AO579" s="46">
        <f>J579*0</f>
        <v>0</v>
      </c>
      <c r="AP579" s="46">
        <f>J579*(1-0)</f>
        <v>0</v>
      </c>
      <c r="AQ579" s="42" t="s">
        <v>1648</v>
      </c>
      <c r="AV579" s="46">
        <f>AW579+AX579</f>
        <v>0</v>
      </c>
      <c r="AW579" s="46">
        <f>I579*AO579</f>
        <v>0</v>
      </c>
      <c r="AX579" s="46">
        <f>I579*AP579</f>
        <v>0</v>
      </c>
      <c r="AY579" s="42" t="s">
        <v>319</v>
      </c>
      <c r="AZ579" s="42" t="s">
        <v>787</v>
      </c>
      <c r="BA579" s="1" t="s">
        <v>1317</v>
      </c>
      <c r="BC579" s="46">
        <f>AW579+AX579</f>
        <v>0</v>
      </c>
      <c r="BD579" s="46">
        <f>J579/(100-BE579)*100</f>
        <v>0</v>
      </c>
      <c r="BE579" s="46">
        <v>0</v>
      </c>
      <c r="BF579" s="46">
        <f>579</f>
        <v>579</v>
      </c>
      <c r="BH579" s="46">
        <f>I579*AO579</f>
        <v>0</v>
      </c>
      <c r="BI579" s="46">
        <f>I579*AP579</f>
        <v>0</v>
      </c>
      <c r="BJ579" s="46">
        <f>I579*J579</f>
        <v>0</v>
      </c>
      <c r="BK579" s="46"/>
      <c r="BL579" s="46">
        <v>17</v>
      </c>
    </row>
    <row r="580" spans="1:15" ht="15" customHeight="1">
      <c r="A580" s="10"/>
      <c r="D580" s="32" t="s">
        <v>1645</v>
      </c>
      <c r="G580" s="32" t="s">
        <v>821</v>
      </c>
      <c r="I580" s="58">
        <v>657.8000000000001</v>
      </c>
      <c r="O580" s="30"/>
    </row>
    <row r="581" spans="1:15" ht="15" customHeight="1">
      <c r="A581" s="10"/>
      <c r="D581" s="32" t="s">
        <v>1378</v>
      </c>
      <c r="G581" s="32" t="s">
        <v>110</v>
      </c>
      <c r="I581" s="58">
        <v>-150.13000000000002</v>
      </c>
      <c r="O581" s="30"/>
    </row>
    <row r="582" spans="1:15" ht="15" customHeight="1">
      <c r="A582" s="10"/>
      <c r="D582" s="32" t="s">
        <v>894</v>
      </c>
      <c r="G582" s="32" t="s">
        <v>1787</v>
      </c>
      <c r="I582" s="58">
        <v>112.24000000000001</v>
      </c>
      <c r="O582" s="30"/>
    </row>
    <row r="583" spans="1:47" ht="15" customHeight="1">
      <c r="A583" s="3" t="s">
        <v>1163</v>
      </c>
      <c r="B583" s="9" t="s">
        <v>1482</v>
      </c>
      <c r="C583" s="9" t="s">
        <v>1070</v>
      </c>
      <c r="D583" s="64" t="s">
        <v>567</v>
      </c>
      <c r="E583" s="64"/>
      <c r="F583" s="64"/>
      <c r="G583" s="64"/>
      <c r="H583" s="41" t="s">
        <v>1537</v>
      </c>
      <c r="I583" s="41" t="s">
        <v>1537</v>
      </c>
      <c r="J583" s="41" t="s">
        <v>1537</v>
      </c>
      <c r="K583" s="50">
        <f>SUM(K584:K584)</f>
        <v>0</v>
      </c>
      <c r="L583" s="50">
        <f>SUM(L584:L584)</f>
        <v>0</v>
      </c>
      <c r="M583" s="50">
        <f>SUM(M584:M584)</f>
        <v>0</v>
      </c>
      <c r="N583" s="1" t="s">
        <v>1163</v>
      </c>
      <c r="O583" s="45" t="s">
        <v>1163</v>
      </c>
      <c r="AI583" s="1" t="s">
        <v>1482</v>
      </c>
      <c r="AS583" s="50">
        <f>SUM(AJ584:AJ584)</f>
        <v>0</v>
      </c>
      <c r="AT583" s="50">
        <f>SUM(AK584:AK584)</f>
        <v>0</v>
      </c>
      <c r="AU583" s="50">
        <f>SUM(AL584:AL584)</f>
        <v>0</v>
      </c>
    </row>
    <row r="584" spans="1:64" ht="15" customHeight="1">
      <c r="A584" s="52" t="s">
        <v>229</v>
      </c>
      <c r="B584" s="43" t="s">
        <v>1482</v>
      </c>
      <c r="C584" s="43" t="s">
        <v>1145</v>
      </c>
      <c r="D584" s="61" t="s">
        <v>1601</v>
      </c>
      <c r="E584" s="61"/>
      <c r="F584" s="61"/>
      <c r="G584" s="61"/>
      <c r="H584" s="43" t="s">
        <v>1604</v>
      </c>
      <c r="I584" s="46">
        <v>150.13</v>
      </c>
      <c r="J584" s="46">
        <v>0</v>
      </c>
      <c r="K584" s="46">
        <f>I584*AO584</f>
        <v>0</v>
      </c>
      <c r="L584" s="46">
        <f>I584*AP584</f>
        <v>0</v>
      </c>
      <c r="M584" s="46">
        <f>I584*J584</f>
        <v>0</v>
      </c>
      <c r="N584" s="46">
        <v>0</v>
      </c>
      <c r="O584" s="6" t="s">
        <v>1149</v>
      </c>
      <c r="Z584" s="46">
        <f>IF(AQ584="5",BJ584,0)</f>
        <v>0</v>
      </c>
      <c r="AB584" s="46">
        <f>IF(AQ584="1",BH584,0)</f>
        <v>0</v>
      </c>
      <c r="AC584" s="46">
        <f>IF(AQ584="1",BI584,0)</f>
        <v>0</v>
      </c>
      <c r="AD584" s="46">
        <f>IF(AQ584="7",BH584,0)</f>
        <v>0</v>
      </c>
      <c r="AE584" s="46">
        <f>IF(AQ584="7",BI584,0)</f>
        <v>0</v>
      </c>
      <c r="AF584" s="46">
        <f>IF(AQ584="2",BH584,0)</f>
        <v>0</v>
      </c>
      <c r="AG584" s="46">
        <f>IF(AQ584="2",BI584,0)</f>
        <v>0</v>
      </c>
      <c r="AH584" s="46">
        <f>IF(AQ584="0",BJ584,0)</f>
        <v>0</v>
      </c>
      <c r="AI584" s="1" t="s">
        <v>1482</v>
      </c>
      <c r="AJ584" s="46">
        <f>IF(AN584=0,M584,0)</f>
        <v>0</v>
      </c>
      <c r="AK584" s="46">
        <f>IF(AN584=15,M584,0)</f>
        <v>0</v>
      </c>
      <c r="AL584" s="46">
        <f>IF(AN584=21,M584,0)</f>
        <v>0</v>
      </c>
      <c r="AN584" s="46">
        <v>21</v>
      </c>
      <c r="AO584" s="46">
        <f>J584*0</f>
        <v>0</v>
      </c>
      <c r="AP584" s="46">
        <f>J584*(1-0)</f>
        <v>0</v>
      </c>
      <c r="AQ584" s="42" t="s">
        <v>1648</v>
      </c>
      <c r="AV584" s="46">
        <f>AW584+AX584</f>
        <v>0</v>
      </c>
      <c r="AW584" s="46">
        <f>I584*AO584</f>
        <v>0</v>
      </c>
      <c r="AX584" s="46">
        <f>I584*AP584</f>
        <v>0</v>
      </c>
      <c r="AY584" s="42" t="s">
        <v>1313</v>
      </c>
      <c r="AZ584" s="42" t="s">
        <v>787</v>
      </c>
      <c r="BA584" s="1" t="s">
        <v>1317</v>
      </c>
      <c r="BC584" s="46">
        <f>AW584+AX584</f>
        <v>0</v>
      </c>
      <c r="BD584" s="46">
        <f>J584/(100-BE584)*100</f>
        <v>0</v>
      </c>
      <c r="BE584" s="46">
        <v>0</v>
      </c>
      <c r="BF584" s="46">
        <f>584</f>
        <v>584</v>
      </c>
      <c r="BH584" s="46">
        <f>I584*AO584</f>
        <v>0</v>
      </c>
      <c r="BI584" s="46">
        <f>I584*AP584</f>
        <v>0</v>
      </c>
      <c r="BJ584" s="46">
        <f>I584*J584</f>
        <v>0</v>
      </c>
      <c r="BK584" s="46"/>
      <c r="BL584" s="46">
        <v>19</v>
      </c>
    </row>
    <row r="585" spans="1:15" ht="15" customHeight="1">
      <c r="A585" s="10"/>
      <c r="D585" s="32" t="s">
        <v>761</v>
      </c>
      <c r="G585" s="32" t="s">
        <v>1398</v>
      </c>
      <c r="I585" s="58">
        <v>150.13000000000002</v>
      </c>
      <c r="O585" s="30"/>
    </row>
    <row r="586" spans="1:47" ht="15" customHeight="1">
      <c r="A586" s="3" t="s">
        <v>1163</v>
      </c>
      <c r="B586" s="9" t="s">
        <v>1482</v>
      </c>
      <c r="C586" s="9" t="s">
        <v>572</v>
      </c>
      <c r="D586" s="64" t="s">
        <v>1299</v>
      </c>
      <c r="E586" s="64"/>
      <c r="F586" s="64"/>
      <c r="G586" s="64"/>
      <c r="H586" s="41" t="s">
        <v>1537</v>
      </c>
      <c r="I586" s="41" t="s">
        <v>1537</v>
      </c>
      <c r="J586" s="41" t="s">
        <v>1537</v>
      </c>
      <c r="K586" s="50">
        <f>SUM(K587:K587)</f>
        <v>0</v>
      </c>
      <c r="L586" s="50">
        <f>SUM(L587:L587)</f>
        <v>0</v>
      </c>
      <c r="M586" s="50">
        <f>SUM(M587:M587)</f>
        <v>0</v>
      </c>
      <c r="N586" s="1" t="s">
        <v>1163</v>
      </c>
      <c r="O586" s="45" t="s">
        <v>1163</v>
      </c>
      <c r="AI586" s="1" t="s">
        <v>1482</v>
      </c>
      <c r="AS586" s="50">
        <f>SUM(AJ587:AJ587)</f>
        <v>0</v>
      </c>
      <c r="AT586" s="50">
        <f>SUM(AK587:AK587)</f>
        <v>0</v>
      </c>
      <c r="AU586" s="50">
        <f>SUM(AL587:AL587)</f>
        <v>0</v>
      </c>
    </row>
    <row r="587" spans="1:64" ht="15" customHeight="1">
      <c r="A587" s="52" t="s">
        <v>447</v>
      </c>
      <c r="B587" s="43" t="s">
        <v>1482</v>
      </c>
      <c r="C587" s="43" t="s">
        <v>1186</v>
      </c>
      <c r="D587" s="61" t="s">
        <v>548</v>
      </c>
      <c r="E587" s="61"/>
      <c r="F587" s="61"/>
      <c r="G587" s="61"/>
      <c r="H587" s="43" t="s">
        <v>1604</v>
      </c>
      <c r="I587" s="46">
        <v>36.2848</v>
      </c>
      <c r="J587" s="46">
        <v>0</v>
      </c>
      <c r="K587" s="46">
        <f>I587*AO587</f>
        <v>0</v>
      </c>
      <c r="L587" s="46">
        <f>I587*AP587</f>
        <v>0</v>
      </c>
      <c r="M587" s="46">
        <f>I587*J587</f>
        <v>0</v>
      </c>
      <c r="N587" s="46">
        <v>1.89077</v>
      </c>
      <c r="O587" s="6" t="s">
        <v>1149</v>
      </c>
      <c r="Z587" s="46">
        <f>IF(AQ587="5",BJ587,0)</f>
        <v>0</v>
      </c>
      <c r="AB587" s="46">
        <f>IF(AQ587="1",BH587,0)</f>
        <v>0</v>
      </c>
      <c r="AC587" s="46">
        <f>IF(AQ587="1",BI587,0)</f>
        <v>0</v>
      </c>
      <c r="AD587" s="46">
        <f>IF(AQ587="7",BH587,0)</f>
        <v>0</v>
      </c>
      <c r="AE587" s="46">
        <f>IF(AQ587="7",BI587,0)</f>
        <v>0</v>
      </c>
      <c r="AF587" s="46">
        <f>IF(AQ587="2",BH587,0)</f>
        <v>0</v>
      </c>
      <c r="AG587" s="46">
        <f>IF(AQ587="2",BI587,0)</f>
        <v>0</v>
      </c>
      <c r="AH587" s="46">
        <f>IF(AQ587="0",BJ587,0)</f>
        <v>0</v>
      </c>
      <c r="AI587" s="1" t="s">
        <v>1482</v>
      </c>
      <c r="AJ587" s="46">
        <f>IF(AN587=0,M587,0)</f>
        <v>0</v>
      </c>
      <c r="AK587" s="46">
        <f>IF(AN587=15,M587,0)</f>
        <v>0</v>
      </c>
      <c r="AL587" s="46">
        <f>IF(AN587=21,M587,0)</f>
        <v>0</v>
      </c>
      <c r="AN587" s="46">
        <v>21</v>
      </c>
      <c r="AO587" s="46">
        <f>J587*0.480904550852644</f>
        <v>0</v>
      </c>
      <c r="AP587" s="46">
        <f>J587*(1-0.480904550852644)</f>
        <v>0</v>
      </c>
      <c r="AQ587" s="42" t="s">
        <v>1648</v>
      </c>
      <c r="AV587" s="46">
        <f>AW587+AX587</f>
        <v>0</v>
      </c>
      <c r="AW587" s="46">
        <f>I587*AO587</f>
        <v>0</v>
      </c>
      <c r="AX587" s="46">
        <f>I587*AP587</f>
        <v>0</v>
      </c>
      <c r="AY587" s="42" t="s">
        <v>802</v>
      </c>
      <c r="AZ587" s="42" t="s">
        <v>118</v>
      </c>
      <c r="BA587" s="1" t="s">
        <v>1317</v>
      </c>
      <c r="BC587" s="46">
        <f>AW587+AX587</f>
        <v>0</v>
      </c>
      <c r="BD587" s="46">
        <f>J587/(100-BE587)*100</f>
        <v>0</v>
      </c>
      <c r="BE587" s="46">
        <v>0</v>
      </c>
      <c r="BF587" s="46">
        <f>587</f>
        <v>587</v>
      </c>
      <c r="BH587" s="46">
        <f>I587*AO587</f>
        <v>0</v>
      </c>
      <c r="BI587" s="46">
        <f>I587*AP587</f>
        <v>0</v>
      </c>
      <c r="BJ587" s="46">
        <f>I587*J587</f>
        <v>0</v>
      </c>
      <c r="BK587" s="46"/>
      <c r="BL587" s="46">
        <v>45</v>
      </c>
    </row>
    <row r="588" spans="1:15" ht="15" customHeight="1">
      <c r="A588" s="10"/>
      <c r="D588" s="32" t="s">
        <v>1017</v>
      </c>
      <c r="G588" s="32" t="s">
        <v>823</v>
      </c>
      <c r="I588" s="58">
        <v>36.284800000000004</v>
      </c>
      <c r="O588" s="30"/>
    </row>
    <row r="589" spans="1:47" ht="15" customHeight="1">
      <c r="A589" s="3" t="s">
        <v>1163</v>
      </c>
      <c r="B589" s="9" t="s">
        <v>1482</v>
      </c>
      <c r="C589" s="9" t="s">
        <v>76</v>
      </c>
      <c r="D589" s="64" t="s">
        <v>124</v>
      </c>
      <c r="E589" s="64"/>
      <c r="F589" s="64"/>
      <c r="G589" s="64"/>
      <c r="H589" s="41" t="s">
        <v>1537</v>
      </c>
      <c r="I589" s="41" t="s">
        <v>1537</v>
      </c>
      <c r="J589" s="41" t="s">
        <v>1537</v>
      </c>
      <c r="K589" s="50">
        <f>SUM(K590:K599)</f>
        <v>0</v>
      </c>
      <c r="L589" s="50">
        <f>SUM(L590:L599)</f>
        <v>0</v>
      </c>
      <c r="M589" s="50">
        <f>SUM(M590:M599)</f>
        <v>0</v>
      </c>
      <c r="N589" s="1" t="s">
        <v>1163</v>
      </c>
      <c r="O589" s="45" t="s">
        <v>1163</v>
      </c>
      <c r="AI589" s="1" t="s">
        <v>1482</v>
      </c>
      <c r="AS589" s="50">
        <f>SUM(AJ590:AJ599)</f>
        <v>0</v>
      </c>
      <c r="AT589" s="50">
        <f>SUM(AK590:AK599)</f>
        <v>0</v>
      </c>
      <c r="AU589" s="50">
        <f>SUM(AL590:AL599)</f>
        <v>0</v>
      </c>
    </row>
    <row r="590" spans="1:64" ht="15" customHeight="1">
      <c r="A590" s="52" t="s">
        <v>818</v>
      </c>
      <c r="B590" s="43" t="s">
        <v>1482</v>
      </c>
      <c r="C590" s="43" t="s">
        <v>183</v>
      </c>
      <c r="D590" s="61" t="s">
        <v>1588</v>
      </c>
      <c r="E590" s="61"/>
      <c r="F590" s="61"/>
      <c r="G590" s="61"/>
      <c r="H590" s="43" t="s">
        <v>1365</v>
      </c>
      <c r="I590" s="46">
        <v>280.6</v>
      </c>
      <c r="J590" s="46">
        <v>0</v>
      </c>
      <c r="K590" s="46">
        <f>I590*AO590</f>
        <v>0</v>
      </c>
      <c r="L590" s="46">
        <f>I590*AP590</f>
        <v>0</v>
      </c>
      <c r="M590" s="46">
        <f>I590*J590</f>
        <v>0</v>
      </c>
      <c r="N590" s="46">
        <v>0</v>
      </c>
      <c r="O590" s="6" t="s">
        <v>1149</v>
      </c>
      <c r="Z590" s="46">
        <f>IF(AQ590="5",BJ590,0)</f>
        <v>0</v>
      </c>
      <c r="AB590" s="46">
        <f>IF(AQ590="1",BH590,0)</f>
        <v>0</v>
      </c>
      <c r="AC590" s="46">
        <f>IF(AQ590="1",BI590,0)</f>
        <v>0</v>
      </c>
      <c r="AD590" s="46">
        <f>IF(AQ590="7",BH590,0)</f>
        <v>0</v>
      </c>
      <c r="AE590" s="46">
        <f>IF(AQ590="7",BI590,0)</f>
        <v>0</v>
      </c>
      <c r="AF590" s="46">
        <f>IF(AQ590="2",BH590,0)</f>
        <v>0</v>
      </c>
      <c r="AG590" s="46">
        <f>IF(AQ590="2",BI590,0)</f>
        <v>0</v>
      </c>
      <c r="AH590" s="46">
        <f>IF(AQ590="0",BJ590,0)</f>
        <v>0</v>
      </c>
      <c r="AI590" s="1" t="s">
        <v>1482</v>
      </c>
      <c r="AJ590" s="46">
        <f>IF(AN590=0,M590,0)</f>
        <v>0</v>
      </c>
      <c r="AK590" s="46">
        <f>IF(AN590=15,M590,0)</f>
        <v>0</v>
      </c>
      <c r="AL590" s="46">
        <f>IF(AN590=21,M590,0)</f>
        <v>0</v>
      </c>
      <c r="AN590" s="46">
        <v>21</v>
      </c>
      <c r="AO590" s="46">
        <f>J590*0.00459770114942529</f>
        <v>0</v>
      </c>
      <c r="AP590" s="46">
        <f>J590*(1-0.00459770114942529)</f>
        <v>0</v>
      </c>
      <c r="AQ590" s="42" t="s">
        <v>1648</v>
      </c>
      <c r="AV590" s="46">
        <f>AW590+AX590</f>
        <v>0</v>
      </c>
      <c r="AW590" s="46">
        <f>I590*AO590</f>
        <v>0</v>
      </c>
      <c r="AX590" s="46">
        <f>I590*AP590</f>
        <v>0</v>
      </c>
      <c r="AY590" s="42" t="s">
        <v>109</v>
      </c>
      <c r="AZ590" s="42" t="s">
        <v>246</v>
      </c>
      <c r="BA590" s="1" t="s">
        <v>1317</v>
      </c>
      <c r="BC590" s="46">
        <f>AW590+AX590</f>
        <v>0</v>
      </c>
      <c r="BD590" s="46">
        <f>J590/(100-BE590)*100</f>
        <v>0</v>
      </c>
      <c r="BE590" s="46">
        <v>0</v>
      </c>
      <c r="BF590" s="46">
        <f>590</f>
        <v>590</v>
      </c>
      <c r="BH590" s="46">
        <f>I590*AO590</f>
        <v>0</v>
      </c>
      <c r="BI590" s="46">
        <f>I590*AP590</f>
        <v>0</v>
      </c>
      <c r="BJ590" s="46">
        <f>I590*J590</f>
        <v>0</v>
      </c>
      <c r="BK590" s="46"/>
      <c r="BL590" s="46">
        <v>87</v>
      </c>
    </row>
    <row r="591" spans="1:15" ht="15" customHeight="1">
      <c r="A591" s="10"/>
      <c r="D591" s="32" t="s">
        <v>1872</v>
      </c>
      <c r="G591" s="32" t="s">
        <v>805</v>
      </c>
      <c r="I591" s="58">
        <v>175.60000000000002</v>
      </c>
      <c r="O591" s="30"/>
    </row>
    <row r="592" spans="1:15" ht="15" customHeight="1">
      <c r="A592" s="10"/>
      <c r="D592" s="32" t="s">
        <v>893</v>
      </c>
      <c r="G592" s="32" t="s">
        <v>805</v>
      </c>
      <c r="I592" s="58">
        <v>105.00000000000001</v>
      </c>
      <c r="O592" s="30"/>
    </row>
    <row r="593" spans="1:64" ht="15" customHeight="1">
      <c r="A593" s="52" t="s">
        <v>1044</v>
      </c>
      <c r="B593" s="43" t="s">
        <v>1482</v>
      </c>
      <c r="C593" s="43" t="s">
        <v>1483</v>
      </c>
      <c r="D593" s="61" t="s">
        <v>1731</v>
      </c>
      <c r="E593" s="61"/>
      <c r="F593" s="61"/>
      <c r="G593" s="61"/>
      <c r="H593" s="43" t="s">
        <v>392</v>
      </c>
      <c r="I593" s="46">
        <v>94</v>
      </c>
      <c r="J593" s="46">
        <v>0</v>
      </c>
      <c r="K593" s="46">
        <f>I593*AO593</f>
        <v>0</v>
      </c>
      <c r="L593" s="46">
        <f>I593*AP593</f>
        <v>0</v>
      </c>
      <c r="M593" s="46">
        <f>I593*J593</f>
        <v>0</v>
      </c>
      <c r="N593" s="46">
        <v>0.0088</v>
      </c>
      <c r="O593" s="6" t="s">
        <v>1149</v>
      </c>
      <c r="Z593" s="46">
        <f>IF(AQ593="5",BJ593,0)</f>
        <v>0</v>
      </c>
      <c r="AB593" s="46">
        <f>IF(AQ593="1",BH593,0)</f>
        <v>0</v>
      </c>
      <c r="AC593" s="46">
        <f>IF(AQ593="1",BI593,0)</f>
        <v>0</v>
      </c>
      <c r="AD593" s="46">
        <f>IF(AQ593="7",BH593,0)</f>
        <v>0</v>
      </c>
      <c r="AE593" s="46">
        <f>IF(AQ593="7",BI593,0)</f>
        <v>0</v>
      </c>
      <c r="AF593" s="46">
        <f>IF(AQ593="2",BH593,0)</f>
        <v>0</v>
      </c>
      <c r="AG593" s="46">
        <f>IF(AQ593="2",BI593,0)</f>
        <v>0</v>
      </c>
      <c r="AH593" s="46">
        <f>IF(AQ593="0",BJ593,0)</f>
        <v>0</v>
      </c>
      <c r="AI593" s="1" t="s">
        <v>1482</v>
      </c>
      <c r="AJ593" s="46">
        <f>IF(AN593=0,M593,0)</f>
        <v>0</v>
      </c>
      <c r="AK593" s="46">
        <f>IF(AN593=15,M593,0)</f>
        <v>0</v>
      </c>
      <c r="AL593" s="46">
        <f>IF(AN593=21,M593,0)</f>
        <v>0</v>
      </c>
      <c r="AN593" s="46">
        <v>21</v>
      </c>
      <c r="AO593" s="46">
        <f>J593*1</f>
        <v>0</v>
      </c>
      <c r="AP593" s="46">
        <f>J593*(1-1)</f>
        <v>0</v>
      </c>
      <c r="AQ593" s="42" t="s">
        <v>1648</v>
      </c>
      <c r="AV593" s="46">
        <f>AW593+AX593</f>
        <v>0</v>
      </c>
      <c r="AW593" s="46">
        <f>I593*AO593</f>
        <v>0</v>
      </c>
      <c r="AX593" s="46">
        <f>I593*AP593</f>
        <v>0</v>
      </c>
      <c r="AY593" s="42" t="s">
        <v>109</v>
      </c>
      <c r="AZ593" s="42" t="s">
        <v>246</v>
      </c>
      <c r="BA593" s="1" t="s">
        <v>1317</v>
      </c>
      <c r="BC593" s="46">
        <f>AW593+AX593</f>
        <v>0</v>
      </c>
      <c r="BD593" s="46">
        <f>J593/(100-BE593)*100</f>
        <v>0</v>
      </c>
      <c r="BE593" s="46">
        <v>0</v>
      </c>
      <c r="BF593" s="46">
        <f>593</f>
        <v>593</v>
      </c>
      <c r="BH593" s="46">
        <f>I593*AO593</f>
        <v>0</v>
      </c>
      <c r="BI593" s="46">
        <f>I593*AP593</f>
        <v>0</v>
      </c>
      <c r="BJ593" s="46">
        <f>I593*J593</f>
        <v>0</v>
      </c>
      <c r="BK593" s="46"/>
      <c r="BL593" s="46">
        <v>87</v>
      </c>
    </row>
    <row r="594" spans="1:15" ht="15" customHeight="1">
      <c r="A594" s="10"/>
      <c r="D594" s="32" t="s">
        <v>194</v>
      </c>
      <c r="G594" s="32" t="s">
        <v>1163</v>
      </c>
      <c r="I594" s="58">
        <v>94.00000000000001</v>
      </c>
      <c r="O594" s="30"/>
    </row>
    <row r="595" spans="1:64" ht="15" customHeight="1">
      <c r="A595" s="52" t="s">
        <v>1582</v>
      </c>
      <c r="B595" s="43" t="s">
        <v>1482</v>
      </c>
      <c r="C595" s="43" t="s">
        <v>1635</v>
      </c>
      <c r="D595" s="61" t="s">
        <v>94</v>
      </c>
      <c r="E595" s="61"/>
      <c r="F595" s="61"/>
      <c r="G595" s="61"/>
      <c r="H595" s="43" t="s">
        <v>392</v>
      </c>
      <c r="I595" s="46">
        <v>92</v>
      </c>
      <c r="J595" s="46">
        <v>0</v>
      </c>
      <c r="K595" s="46">
        <f>I595*AO595</f>
        <v>0</v>
      </c>
      <c r="L595" s="46">
        <f>I595*AP595</f>
        <v>0</v>
      </c>
      <c r="M595" s="46">
        <f>I595*J595</f>
        <v>0</v>
      </c>
      <c r="N595" s="46">
        <v>1E-05</v>
      </c>
      <c r="O595" s="6" t="s">
        <v>1149</v>
      </c>
      <c r="Z595" s="46">
        <f>IF(AQ595="5",BJ595,0)</f>
        <v>0</v>
      </c>
      <c r="AB595" s="46">
        <f>IF(AQ595="1",BH595,0)</f>
        <v>0</v>
      </c>
      <c r="AC595" s="46">
        <f>IF(AQ595="1",BI595,0)</f>
        <v>0</v>
      </c>
      <c r="AD595" s="46">
        <f>IF(AQ595="7",BH595,0)</f>
        <v>0</v>
      </c>
      <c r="AE595" s="46">
        <f>IF(AQ595="7",BI595,0)</f>
        <v>0</v>
      </c>
      <c r="AF595" s="46">
        <f>IF(AQ595="2",BH595,0)</f>
        <v>0</v>
      </c>
      <c r="AG595" s="46">
        <f>IF(AQ595="2",BI595,0)</f>
        <v>0</v>
      </c>
      <c r="AH595" s="46">
        <f>IF(AQ595="0",BJ595,0)</f>
        <v>0</v>
      </c>
      <c r="AI595" s="1" t="s">
        <v>1482</v>
      </c>
      <c r="AJ595" s="46">
        <f>IF(AN595=0,M595,0)</f>
        <v>0</v>
      </c>
      <c r="AK595" s="46">
        <f>IF(AN595=15,M595,0)</f>
        <v>0</v>
      </c>
      <c r="AL595" s="46">
        <f>IF(AN595=21,M595,0)</f>
        <v>0</v>
      </c>
      <c r="AN595" s="46">
        <v>21</v>
      </c>
      <c r="AO595" s="46">
        <f>J595*0.00526881720430108</f>
        <v>0</v>
      </c>
      <c r="AP595" s="46">
        <f>J595*(1-0.00526881720430108)</f>
        <v>0</v>
      </c>
      <c r="AQ595" s="42" t="s">
        <v>1648</v>
      </c>
      <c r="AV595" s="46">
        <f>AW595+AX595</f>
        <v>0</v>
      </c>
      <c r="AW595" s="46">
        <f>I595*AO595</f>
        <v>0</v>
      </c>
      <c r="AX595" s="46">
        <f>I595*AP595</f>
        <v>0</v>
      </c>
      <c r="AY595" s="42" t="s">
        <v>109</v>
      </c>
      <c r="AZ595" s="42" t="s">
        <v>246</v>
      </c>
      <c r="BA595" s="1" t="s">
        <v>1317</v>
      </c>
      <c r="BC595" s="46">
        <f>AW595+AX595</f>
        <v>0</v>
      </c>
      <c r="BD595" s="46">
        <f>J595/(100-BE595)*100</f>
        <v>0</v>
      </c>
      <c r="BE595" s="46">
        <v>0</v>
      </c>
      <c r="BF595" s="46">
        <f>595</f>
        <v>595</v>
      </c>
      <c r="BH595" s="46">
        <f>I595*AO595</f>
        <v>0</v>
      </c>
      <c r="BI595" s="46">
        <f>I595*AP595</f>
        <v>0</v>
      </c>
      <c r="BJ595" s="46">
        <f>I595*J595</f>
        <v>0</v>
      </c>
      <c r="BK595" s="46"/>
      <c r="BL595" s="46">
        <v>87</v>
      </c>
    </row>
    <row r="596" spans="1:15" ht="15" customHeight="1">
      <c r="A596" s="10"/>
      <c r="D596" s="32" t="s">
        <v>1485</v>
      </c>
      <c r="G596" s="32" t="s">
        <v>1163</v>
      </c>
      <c r="I596" s="58">
        <v>92.00000000000001</v>
      </c>
      <c r="O596" s="30"/>
    </row>
    <row r="597" spans="1:64" ht="15" customHeight="1">
      <c r="A597" s="52" t="s">
        <v>342</v>
      </c>
      <c r="B597" s="43" t="s">
        <v>1482</v>
      </c>
      <c r="C597" s="43" t="s">
        <v>120</v>
      </c>
      <c r="D597" s="61" t="s">
        <v>373</v>
      </c>
      <c r="E597" s="61"/>
      <c r="F597" s="61"/>
      <c r="G597" s="61"/>
      <c r="H597" s="43" t="s">
        <v>392</v>
      </c>
      <c r="I597" s="46">
        <v>46</v>
      </c>
      <c r="J597" s="46">
        <v>0</v>
      </c>
      <c r="K597" s="46">
        <f>I597*AO597</f>
        <v>0</v>
      </c>
      <c r="L597" s="46">
        <f>I597*AP597</f>
        <v>0</v>
      </c>
      <c r="M597" s="46">
        <f>I597*J597</f>
        <v>0</v>
      </c>
      <c r="N597" s="46">
        <v>0.00057</v>
      </c>
      <c r="O597" s="6" t="s">
        <v>1149</v>
      </c>
      <c r="Z597" s="46">
        <f>IF(AQ597="5",BJ597,0)</f>
        <v>0</v>
      </c>
      <c r="AB597" s="46">
        <f>IF(AQ597="1",BH597,0)</f>
        <v>0</v>
      </c>
      <c r="AC597" s="46">
        <f>IF(AQ597="1",BI597,0)</f>
        <v>0</v>
      </c>
      <c r="AD597" s="46">
        <f>IF(AQ597="7",BH597,0)</f>
        <v>0</v>
      </c>
      <c r="AE597" s="46">
        <f>IF(AQ597="7",BI597,0)</f>
        <v>0</v>
      </c>
      <c r="AF597" s="46">
        <f>IF(AQ597="2",BH597,0)</f>
        <v>0</v>
      </c>
      <c r="AG597" s="46">
        <f>IF(AQ597="2",BI597,0)</f>
        <v>0</v>
      </c>
      <c r="AH597" s="46">
        <f>IF(AQ597="0",BJ597,0)</f>
        <v>0</v>
      </c>
      <c r="AI597" s="1" t="s">
        <v>1482</v>
      </c>
      <c r="AJ597" s="46">
        <f>IF(AN597=0,M597,0)</f>
        <v>0</v>
      </c>
      <c r="AK597" s="46">
        <f>IF(AN597=15,M597,0)</f>
        <v>0</v>
      </c>
      <c r="AL597" s="46">
        <f>IF(AN597=21,M597,0)</f>
        <v>0</v>
      </c>
      <c r="AN597" s="46">
        <v>21</v>
      </c>
      <c r="AO597" s="46">
        <f>J597*1</f>
        <v>0</v>
      </c>
      <c r="AP597" s="46">
        <f>J597*(1-1)</f>
        <v>0</v>
      </c>
      <c r="AQ597" s="42" t="s">
        <v>1648</v>
      </c>
      <c r="AV597" s="46">
        <f>AW597+AX597</f>
        <v>0</v>
      </c>
      <c r="AW597" s="46">
        <f>I597*AO597</f>
        <v>0</v>
      </c>
      <c r="AX597" s="46">
        <f>I597*AP597</f>
        <v>0</v>
      </c>
      <c r="AY597" s="42" t="s">
        <v>109</v>
      </c>
      <c r="AZ597" s="42" t="s">
        <v>246</v>
      </c>
      <c r="BA597" s="1" t="s">
        <v>1317</v>
      </c>
      <c r="BC597" s="46">
        <f>AW597+AX597</f>
        <v>0</v>
      </c>
      <c r="BD597" s="46">
        <f>J597/(100-BE597)*100</f>
        <v>0</v>
      </c>
      <c r="BE597" s="46">
        <v>0</v>
      </c>
      <c r="BF597" s="46">
        <f>597</f>
        <v>597</v>
      </c>
      <c r="BH597" s="46">
        <f>I597*AO597</f>
        <v>0</v>
      </c>
      <c r="BI597" s="46">
        <f>I597*AP597</f>
        <v>0</v>
      </c>
      <c r="BJ597" s="46">
        <f>I597*J597</f>
        <v>0</v>
      </c>
      <c r="BK597" s="46"/>
      <c r="BL597" s="46">
        <v>87</v>
      </c>
    </row>
    <row r="598" spans="1:15" ht="15" customHeight="1">
      <c r="A598" s="10"/>
      <c r="D598" s="32" t="s">
        <v>1337</v>
      </c>
      <c r="G598" s="32" t="s">
        <v>1270</v>
      </c>
      <c r="I598" s="58">
        <v>46.00000000000001</v>
      </c>
      <c r="O598" s="30"/>
    </row>
    <row r="599" spans="1:64" ht="15" customHeight="1">
      <c r="A599" s="52" t="s">
        <v>1609</v>
      </c>
      <c r="B599" s="43" t="s">
        <v>1482</v>
      </c>
      <c r="C599" s="43" t="s">
        <v>93</v>
      </c>
      <c r="D599" s="61" t="s">
        <v>1701</v>
      </c>
      <c r="E599" s="61"/>
      <c r="F599" s="61"/>
      <c r="G599" s="61"/>
      <c r="H599" s="43" t="s">
        <v>392</v>
      </c>
      <c r="I599" s="46">
        <v>46</v>
      </c>
      <c r="J599" s="46">
        <v>0</v>
      </c>
      <c r="K599" s="46">
        <f>I599*AO599</f>
        <v>0</v>
      </c>
      <c r="L599" s="46">
        <f>I599*AP599</f>
        <v>0</v>
      </c>
      <c r="M599" s="46">
        <f>I599*J599</f>
        <v>0</v>
      </c>
      <c r="N599" s="46">
        <v>0.00049</v>
      </c>
      <c r="O599" s="6" t="s">
        <v>1149</v>
      </c>
      <c r="Z599" s="46">
        <f>IF(AQ599="5",BJ599,0)</f>
        <v>0</v>
      </c>
      <c r="AB599" s="46">
        <f>IF(AQ599="1",BH599,0)</f>
        <v>0</v>
      </c>
      <c r="AC599" s="46">
        <f>IF(AQ599="1",BI599,0)</f>
        <v>0</v>
      </c>
      <c r="AD599" s="46">
        <f>IF(AQ599="7",BH599,0)</f>
        <v>0</v>
      </c>
      <c r="AE599" s="46">
        <f>IF(AQ599="7",BI599,0)</f>
        <v>0</v>
      </c>
      <c r="AF599" s="46">
        <f>IF(AQ599="2",BH599,0)</f>
        <v>0</v>
      </c>
      <c r="AG599" s="46">
        <f>IF(AQ599="2",BI599,0)</f>
        <v>0</v>
      </c>
      <c r="AH599" s="46">
        <f>IF(AQ599="0",BJ599,0)</f>
        <v>0</v>
      </c>
      <c r="AI599" s="1" t="s">
        <v>1482</v>
      </c>
      <c r="AJ599" s="46">
        <f>IF(AN599=0,M599,0)</f>
        <v>0</v>
      </c>
      <c r="AK599" s="46">
        <f>IF(AN599=15,M599,0)</f>
        <v>0</v>
      </c>
      <c r="AL599" s="46">
        <f>IF(AN599=21,M599,0)</f>
        <v>0</v>
      </c>
      <c r="AN599" s="46">
        <v>21</v>
      </c>
      <c r="AO599" s="46">
        <f>J599*1</f>
        <v>0</v>
      </c>
      <c r="AP599" s="46">
        <f>J599*(1-1)</f>
        <v>0</v>
      </c>
      <c r="AQ599" s="42" t="s">
        <v>1648</v>
      </c>
      <c r="AV599" s="46">
        <f>AW599+AX599</f>
        <v>0</v>
      </c>
      <c r="AW599" s="46">
        <f>I599*AO599</f>
        <v>0</v>
      </c>
      <c r="AX599" s="46">
        <f>I599*AP599</f>
        <v>0</v>
      </c>
      <c r="AY599" s="42" t="s">
        <v>109</v>
      </c>
      <c r="AZ599" s="42" t="s">
        <v>246</v>
      </c>
      <c r="BA599" s="1" t="s">
        <v>1317</v>
      </c>
      <c r="BC599" s="46">
        <f>AW599+AX599</f>
        <v>0</v>
      </c>
      <c r="BD599" s="46">
        <f>J599/(100-BE599)*100</f>
        <v>0</v>
      </c>
      <c r="BE599" s="46">
        <v>0</v>
      </c>
      <c r="BF599" s="46">
        <f>599</f>
        <v>599</v>
      </c>
      <c r="BH599" s="46">
        <f>I599*AO599</f>
        <v>0</v>
      </c>
      <c r="BI599" s="46">
        <f>I599*AP599</f>
        <v>0</v>
      </c>
      <c r="BJ599" s="46">
        <f>I599*J599</f>
        <v>0</v>
      </c>
      <c r="BK599" s="46"/>
      <c r="BL599" s="46">
        <v>87</v>
      </c>
    </row>
    <row r="600" spans="1:15" ht="15" customHeight="1">
      <c r="A600" s="10"/>
      <c r="D600" s="32" t="s">
        <v>1337</v>
      </c>
      <c r="G600" s="32" t="s">
        <v>206</v>
      </c>
      <c r="I600" s="58">
        <v>46.00000000000001</v>
      </c>
      <c r="O600" s="30"/>
    </row>
    <row r="601" spans="1:15" ht="15" customHeight="1">
      <c r="A601" s="10"/>
      <c r="D601" s="32" t="s">
        <v>1163</v>
      </c>
      <c r="G601" s="32" t="s">
        <v>957</v>
      </c>
      <c r="I601" s="58">
        <v>0</v>
      </c>
      <c r="O601" s="30"/>
    </row>
    <row r="602" spans="1:15" ht="15" customHeight="1">
      <c r="A602" s="10"/>
      <c r="D602" s="32" t="s">
        <v>1163</v>
      </c>
      <c r="G602" s="32" t="s">
        <v>430</v>
      </c>
      <c r="I602" s="58">
        <v>0</v>
      </c>
      <c r="O602" s="30"/>
    </row>
    <row r="603" spans="1:47" ht="15" customHeight="1">
      <c r="A603" s="3" t="s">
        <v>1163</v>
      </c>
      <c r="B603" s="9" t="s">
        <v>1482</v>
      </c>
      <c r="C603" s="9" t="s">
        <v>1754</v>
      </c>
      <c r="D603" s="64" t="s">
        <v>1089</v>
      </c>
      <c r="E603" s="64"/>
      <c r="F603" s="64"/>
      <c r="G603" s="64"/>
      <c r="H603" s="41" t="s">
        <v>1537</v>
      </c>
      <c r="I603" s="41" t="s">
        <v>1537</v>
      </c>
      <c r="J603" s="41" t="s">
        <v>1537</v>
      </c>
      <c r="K603" s="50">
        <f>SUM(K604:K608)</f>
        <v>0</v>
      </c>
      <c r="L603" s="50">
        <f>SUM(L604:L608)</f>
        <v>0</v>
      </c>
      <c r="M603" s="50">
        <f>SUM(M604:M608)</f>
        <v>0</v>
      </c>
      <c r="N603" s="1" t="s">
        <v>1163</v>
      </c>
      <c r="O603" s="45" t="s">
        <v>1163</v>
      </c>
      <c r="AI603" s="1" t="s">
        <v>1482</v>
      </c>
      <c r="AS603" s="50">
        <f>SUM(AJ604:AJ608)</f>
        <v>0</v>
      </c>
      <c r="AT603" s="50">
        <f>SUM(AK604:AK608)</f>
        <v>0</v>
      </c>
      <c r="AU603" s="50">
        <f>SUM(AL604:AL608)</f>
        <v>0</v>
      </c>
    </row>
    <row r="604" spans="1:64" ht="15" customHeight="1">
      <c r="A604" s="52" t="s">
        <v>674</v>
      </c>
      <c r="B604" s="43" t="s">
        <v>1482</v>
      </c>
      <c r="C604" s="43" t="s">
        <v>987</v>
      </c>
      <c r="D604" s="61" t="s">
        <v>1867</v>
      </c>
      <c r="E604" s="61"/>
      <c r="F604" s="61"/>
      <c r="G604" s="61"/>
      <c r="H604" s="43" t="s">
        <v>1365</v>
      </c>
      <c r="I604" s="46">
        <v>266.8</v>
      </c>
      <c r="J604" s="46">
        <v>0</v>
      </c>
      <c r="K604" s="46">
        <f>I604*AO604</f>
        <v>0</v>
      </c>
      <c r="L604" s="46">
        <f>I604*AP604</f>
        <v>0</v>
      </c>
      <c r="M604" s="46">
        <f>I604*J604</f>
        <v>0</v>
      </c>
      <c r="N604" s="46">
        <v>0</v>
      </c>
      <c r="O604" s="6" t="s">
        <v>1149</v>
      </c>
      <c r="Z604" s="46">
        <f>IF(AQ604="5",BJ604,0)</f>
        <v>0</v>
      </c>
      <c r="AB604" s="46">
        <f>IF(AQ604="1",BH604,0)</f>
        <v>0</v>
      </c>
      <c r="AC604" s="46">
        <f>IF(AQ604="1",BI604,0)</f>
        <v>0</v>
      </c>
      <c r="AD604" s="46">
        <f>IF(AQ604="7",BH604,0)</f>
        <v>0</v>
      </c>
      <c r="AE604" s="46">
        <f>IF(AQ604="7",BI604,0)</f>
        <v>0</v>
      </c>
      <c r="AF604" s="46">
        <f>IF(AQ604="2",BH604,0)</f>
        <v>0</v>
      </c>
      <c r="AG604" s="46">
        <f>IF(AQ604="2",BI604,0)</f>
        <v>0</v>
      </c>
      <c r="AH604" s="46">
        <f>IF(AQ604="0",BJ604,0)</f>
        <v>0</v>
      </c>
      <c r="AI604" s="1" t="s">
        <v>1482</v>
      </c>
      <c r="AJ604" s="46">
        <f>IF(AN604=0,M604,0)</f>
        <v>0</v>
      </c>
      <c r="AK604" s="46">
        <f>IF(AN604=15,M604,0)</f>
        <v>0</v>
      </c>
      <c r="AL604" s="46">
        <f>IF(AN604=21,M604,0)</f>
        <v>0</v>
      </c>
      <c r="AN604" s="46">
        <v>21</v>
      </c>
      <c r="AO604" s="46">
        <f>J604*0.055</f>
        <v>0</v>
      </c>
      <c r="AP604" s="46">
        <f>J604*(1-0.055)</f>
        <v>0</v>
      </c>
      <c r="AQ604" s="42" t="s">
        <v>1648</v>
      </c>
      <c r="AV604" s="46">
        <f>AW604+AX604</f>
        <v>0</v>
      </c>
      <c r="AW604" s="46">
        <f>I604*AO604</f>
        <v>0</v>
      </c>
      <c r="AX604" s="46">
        <f>I604*AP604</f>
        <v>0</v>
      </c>
      <c r="AY604" s="42" t="s">
        <v>132</v>
      </c>
      <c r="AZ604" s="42" t="s">
        <v>246</v>
      </c>
      <c r="BA604" s="1" t="s">
        <v>1317</v>
      </c>
      <c r="BC604" s="46">
        <f>AW604+AX604</f>
        <v>0</v>
      </c>
      <c r="BD604" s="46">
        <f>J604/(100-BE604)*100</f>
        <v>0</v>
      </c>
      <c r="BE604" s="46">
        <v>0</v>
      </c>
      <c r="BF604" s="46">
        <f>604</f>
        <v>604</v>
      </c>
      <c r="BH604" s="46">
        <f>I604*AO604</f>
        <v>0</v>
      </c>
      <c r="BI604" s="46">
        <f>I604*AP604</f>
        <v>0</v>
      </c>
      <c r="BJ604" s="46">
        <f>I604*J604</f>
        <v>0</v>
      </c>
      <c r="BK604" s="46"/>
      <c r="BL604" s="46">
        <v>89</v>
      </c>
    </row>
    <row r="605" spans="1:15" ht="15" customHeight="1">
      <c r="A605" s="10"/>
      <c r="D605" s="32" t="s">
        <v>175</v>
      </c>
      <c r="G605" s="32" t="s">
        <v>1163</v>
      </c>
      <c r="I605" s="58">
        <v>266.8</v>
      </c>
      <c r="O605" s="30"/>
    </row>
    <row r="606" spans="1:64" ht="15" customHeight="1">
      <c r="A606" s="52" t="s">
        <v>19</v>
      </c>
      <c r="B606" s="43" t="s">
        <v>1482</v>
      </c>
      <c r="C606" s="43" t="s">
        <v>883</v>
      </c>
      <c r="D606" s="61" t="s">
        <v>429</v>
      </c>
      <c r="E606" s="61"/>
      <c r="F606" s="61"/>
      <c r="G606" s="61"/>
      <c r="H606" s="43" t="s">
        <v>322</v>
      </c>
      <c r="I606" s="46">
        <v>46</v>
      </c>
      <c r="J606" s="46">
        <v>0</v>
      </c>
      <c r="K606" s="46">
        <f>I606*AO606</f>
        <v>0</v>
      </c>
      <c r="L606" s="46">
        <f>I606*AP606</f>
        <v>0</v>
      </c>
      <c r="M606" s="46">
        <f>I606*J606</f>
        <v>0</v>
      </c>
      <c r="N606" s="46">
        <v>2E-05</v>
      </c>
      <c r="O606" s="6" t="s">
        <v>1149</v>
      </c>
      <c r="Z606" s="46">
        <f>IF(AQ606="5",BJ606,0)</f>
        <v>0</v>
      </c>
      <c r="AB606" s="46">
        <f>IF(AQ606="1",BH606,0)</f>
        <v>0</v>
      </c>
      <c r="AC606" s="46">
        <f>IF(AQ606="1",BI606,0)</f>
        <v>0</v>
      </c>
      <c r="AD606" s="46">
        <f>IF(AQ606="7",BH606,0)</f>
        <v>0</v>
      </c>
      <c r="AE606" s="46">
        <f>IF(AQ606="7",BI606,0)</f>
        <v>0</v>
      </c>
      <c r="AF606" s="46">
        <f>IF(AQ606="2",BH606,0)</f>
        <v>0</v>
      </c>
      <c r="AG606" s="46">
        <f>IF(AQ606="2",BI606,0)</f>
        <v>0</v>
      </c>
      <c r="AH606" s="46">
        <f>IF(AQ606="0",BJ606,0)</f>
        <v>0</v>
      </c>
      <c r="AI606" s="1" t="s">
        <v>1482</v>
      </c>
      <c r="AJ606" s="46">
        <f>IF(AN606=0,M606,0)</f>
        <v>0</v>
      </c>
      <c r="AK606" s="46">
        <f>IF(AN606=15,M606,0)</f>
        <v>0</v>
      </c>
      <c r="AL606" s="46">
        <f>IF(AN606=21,M606,0)</f>
        <v>0</v>
      </c>
      <c r="AN606" s="46">
        <v>21</v>
      </c>
      <c r="AO606" s="46">
        <f>J606*0.33300395256917</f>
        <v>0</v>
      </c>
      <c r="AP606" s="46">
        <f>J606*(1-0.33300395256917)</f>
        <v>0</v>
      </c>
      <c r="AQ606" s="42" t="s">
        <v>1648</v>
      </c>
      <c r="AV606" s="46">
        <f>AW606+AX606</f>
        <v>0</v>
      </c>
      <c r="AW606" s="46">
        <f>I606*AO606</f>
        <v>0</v>
      </c>
      <c r="AX606" s="46">
        <f>I606*AP606</f>
        <v>0</v>
      </c>
      <c r="AY606" s="42" t="s">
        <v>132</v>
      </c>
      <c r="AZ606" s="42" t="s">
        <v>246</v>
      </c>
      <c r="BA606" s="1" t="s">
        <v>1317</v>
      </c>
      <c r="BC606" s="46">
        <f>AW606+AX606</f>
        <v>0</v>
      </c>
      <c r="BD606" s="46">
        <f>J606/(100-BE606)*100</f>
        <v>0</v>
      </c>
      <c r="BE606" s="46">
        <v>0</v>
      </c>
      <c r="BF606" s="46">
        <f>606</f>
        <v>606</v>
      </c>
      <c r="BH606" s="46">
        <f>I606*AO606</f>
        <v>0</v>
      </c>
      <c r="BI606" s="46">
        <f>I606*AP606</f>
        <v>0</v>
      </c>
      <c r="BJ606" s="46">
        <f>I606*J606</f>
        <v>0</v>
      </c>
      <c r="BK606" s="46"/>
      <c r="BL606" s="46">
        <v>89</v>
      </c>
    </row>
    <row r="607" spans="1:15" ht="15" customHeight="1">
      <c r="A607" s="10"/>
      <c r="D607" s="32" t="s">
        <v>1337</v>
      </c>
      <c r="G607" s="32" t="s">
        <v>1163</v>
      </c>
      <c r="I607" s="58">
        <v>46.00000000000001</v>
      </c>
      <c r="O607" s="30"/>
    </row>
    <row r="608" spans="1:64" ht="15" customHeight="1">
      <c r="A608" s="52" t="s">
        <v>732</v>
      </c>
      <c r="B608" s="43" t="s">
        <v>1482</v>
      </c>
      <c r="C608" s="43" t="s">
        <v>240</v>
      </c>
      <c r="D608" s="61" t="s">
        <v>615</v>
      </c>
      <c r="E608" s="61"/>
      <c r="F608" s="61"/>
      <c r="G608" s="61"/>
      <c r="H608" s="43" t="s">
        <v>1365</v>
      </c>
      <c r="I608" s="46">
        <v>293.48</v>
      </c>
      <c r="J608" s="46">
        <v>0</v>
      </c>
      <c r="K608" s="46">
        <f>I608*AO608</f>
        <v>0</v>
      </c>
      <c r="L608" s="46">
        <f>I608*AP608</f>
        <v>0</v>
      </c>
      <c r="M608" s="46">
        <f>I608*J608</f>
        <v>0</v>
      </c>
      <c r="N608" s="46">
        <v>0</v>
      </c>
      <c r="O608" s="6" t="s">
        <v>1149</v>
      </c>
      <c r="Z608" s="46">
        <f>IF(AQ608="5",BJ608,0)</f>
        <v>0</v>
      </c>
      <c r="AB608" s="46">
        <f>IF(AQ608="1",BH608,0)</f>
        <v>0</v>
      </c>
      <c r="AC608" s="46">
        <f>IF(AQ608="1",BI608,0)</f>
        <v>0</v>
      </c>
      <c r="AD608" s="46">
        <f>IF(AQ608="7",BH608,0)</f>
        <v>0</v>
      </c>
      <c r="AE608" s="46">
        <f>IF(AQ608="7",BI608,0)</f>
        <v>0</v>
      </c>
      <c r="AF608" s="46">
        <f>IF(AQ608="2",BH608,0)</f>
        <v>0</v>
      </c>
      <c r="AG608" s="46">
        <f>IF(AQ608="2",BI608,0)</f>
        <v>0</v>
      </c>
      <c r="AH608" s="46">
        <f>IF(AQ608="0",BJ608,0)</f>
        <v>0</v>
      </c>
      <c r="AI608" s="1" t="s">
        <v>1482</v>
      </c>
      <c r="AJ608" s="46">
        <f>IF(AN608=0,M608,0)</f>
        <v>0</v>
      </c>
      <c r="AK608" s="46">
        <f>IF(AN608=15,M608,0)</f>
        <v>0</v>
      </c>
      <c r="AL608" s="46">
        <f>IF(AN608=21,M608,0)</f>
        <v>0</v>
      </c>
      <c r="AN608" s="46">
        <v>21</v>
      </c>
      <c r="AO608" s="46">
        <f>J608*0.322424242424242</f>
        <v>0</v>
      </c>
      <c r="AP608" s="46">
        <f>J608*(1-0.322424242424242)</f>
        <v>0</v>
      </c>
      <c r="AQ608" s="42" t="s">
        <v>1648</v>
      </c>
      <c r="AV608" s="46">
        <f>AW608+AX608</f>
        <v>0</v>
      </c>
      <c r="AW608" s="46">
        <f>I608*AO608</f>
        <v>0</v>
      </c>
      <c r="AX608" s="46">
        <f>I608*AP608</f>
        <v>0</v>
      </c>
      <c r="AY608" s="42" t="s">
        <v>132</v>
      </c>
      <c r="AZ608" s="42" t="s">
        <v>246</v>
      </c>
      <c r="BA608" s="1" t="s">
        <v>1317</v>
      </c>
      <c r="BC608" s="46">
        <f>AW608+AX608</f>
        <v>0</v>
      </c>
      <c r="BD608" s="46">
        <f>J608/(100-BE608)*100</f>
        <v>0</v>
      </c>
      <c r="BE608" s="46">
        <v>0</v>
      </c>
      <c r="BF608" s="46">
        <f>608</f>
        <v>608</v>
      </c>
      <c r="BH608" s="46">
        <f>I608*AO608</f>
        <v>0</v>
      </c>
      <c r="BI608" s="46">
        <f>I608*AP608</f>
        <v>0</v>
      </c>
      <c r="BJ608" s="46">
        <f>I608*J608</f>
        <v>0</v>
      </c>
      <c r="BK608" s="46"/>
      <c r="BL608" s="46">
        <v>89</v>
      </c>
    </row>
    <row r="609" spans="1:15" ht="15" customHeight="1">
      <c r="A609" s="10"/>
      <c r="D609" s="32" t="s">
        <v>533</v>
      </c>
      <c r="G609" s="32" t="s">
        <v>963</v>
      </c>
      <c r="I609" s="58">
        <v>293.48</v>
      </c>
      <c r="O609" s="30"/>
    </row>
    <row r="610" spans="1:47" ht="15" customHeight="1">
      <c r="A610" s="3" t="s">
        <v>1163</v>
      </c>
      <c r="B610" s="9" t="s">
        <v>1482</v>
      </c>
      <c r="C610" s="9" t="s">
        <v>74</v>
      </c>
      <c r="D610" s="64" t="s">
        <v>588</v>
      </c>
      <c r="E610" s="64"/>
      <c r="F610" s="64"/>
      <c r="G610" s="64"/>
      <c r="H610" s="41" t="s">
        <v>1537</v>
      </c>
      <c r="I610" s="41" t="s">
        <v>1537</v>
      </c>
      <c r="J610" s="41" t="s">
        <v>1537</v>
      </c>
      <c r="K610" s="50">
        <f>SUM(K611:K613)</f>
        <v>0</v>
      </c>
      <c r="L610" s="50">
        <f>SUM(L611:L613)</f>
        <v>0</v>
      </c>
      <c r="M610" s="50">
        <f>SUM(M611:M613)</f>
        <v>0</v>
      </c>
      <c r="N610" s="1" t="s">
        <v>1163</v>
      </c>
      <c r="O610" s="45" t="s">
        <v>1163</v>
      </c>
      <c r="AI610" s="1" t="s">
        <v>1482</v>
      </c>
      <c r="AS610" s="50">
        <f>SUM(AJ611:AJ613)</f>
        <v>0</v>
      </c>
      <c r="AT610" s="50">
        <f>SUM(AK611:AK613)</f>
        <v>0</v>
      </c>
      <c r="AU610" s="50">
        <f>SUM(AL611:AL613)</f>
        <v>0</v>
      </c>
    </row>
    <row r="611" spans="1:64" ht="15" customHeight="1">
      <c r="A611" s="52" t="s">
        <v>343</v>
      </c>
      <c r="B611" s="43" t="s">
        <v>1482</v>
      </c>
      <c r="C611" s="43" t="s">
        <v>27</v>
      </c>
      <c r="D611" s="61" t="s">
        <v>1691</v>
      </c>
      <c r="E611" s="61"/>
      <c r="F611" s="61"/>
      <c r="G611" s="61"/>
      <c r="H611" s="43" t="s">
        <v>1365</v>
      </c>
      <c r="I611" s="46">
        <v>299</v>
      </c>
      <c r="J611" s="46">
        <v>0</v>
      </c>
      <c r="K611" s="46">
        <f>I611*AO611</f>
        <v>0</v>
      </c>
      <c r="L611" s="46">
        <f>I611*AP611</f>
        <v>0</v>
      </c>
      <c r="M611" s="46">
        <f>I611*J611</f>
        <v>0</v>
      </c>
      <c r="N611" s="46">
        <v>0</v>
      </c>
      <c r="O611" s="6" t="s">
        <v>1149</v>
      </c>
      <c r="Z611" s="46">
        <f>IF(AQ611="5",BJ611,0)</f>
        <v>0</v>
      </c>
      <c r="AB611" s="46">
        <f>IF(AQ611="1",BH611,0)</f>
        <v>0</v>
      </c>
      <c r="AC611" s="46">
        <f>IF(AQ611="1",BI611,0)</f>
        <v>0</v>
      </c>
      <c r="AD611" s="46">
        <f>IF(AQ611="7",BH611,0)</f>
        <v>0</v>
      </c>
      <c r="AE611" s="46">
        <f>IF(AQ611="7",BI611,0)</f>
        <v>0</v>
      </c>
      <c r="AF611" s="46">
        <f>IF(AQ611="2",BH611,0)</f>
        <v>0</v>
      </c>
      <c r="AG611" s="46">
        <f>IF(AQ611="2",BI611,0)</f>
        <v>0</v>
      </c>
      <c r="AH611" s="46">
        <f>IF(AQ611="0",BJ611,0)</f>
        <v>0</v>
      </c>
      <c r="AI611" s="1" t="s">
        <v>1482</v>
      </c>
      <c r="AJ611" s="46">
        <f>IF(AN611=0,M611,0)</f>
        <v>0</v>
      </c>
      <c r="AK611" s="46">
        <f>IF(AN611=15,M611,0)</f>
        <v>0</v>
      </c>
      <c r="AL611" s="46">
        <f>IF(AN611=21,M611,0)</f>
        <v>0</v>
      </c>
      <c r="AN611" s="46">
        <v>21</v>
      </c>
      <c r="AO611" s="46">
        <f>J611*0.563818166540627</f>
        <v>0</v>
      </c>
      <c r="AP611" s="46">
        <f>J611*(1-0.563818166540627)</f>
        <v>0</v>
      </c>
      <c r="AQ611" s="42" t="s">
        <v>1648</v>
      </c>
      <c r="AV611" s="46">
        <f>AW611+AX611</f>
        <v>0</v>
      </c>
      <c r="AW611" s="46">
        <f>I611*AO611</f>
        <v>0</v>
      </c>
      <c r="AX611" s="46">
        <f>I611*AP611</f>
        <v>0</v>
      </c>
      <c r="AY611" s="42" t="s">
        <v>1616</v>
      </c>
      <c r="AZ611" s="42" t="s">
        <v>1625</v>
      </c>
      <c r="BA611" s="1" t="s">
        <v>1317</v>
      </c>
      <c r="BC611" s="46">
        <f>AW611+AX611</f>
        <v>0</v>
      </c>
      <c r="BD611" s="46">
        <f>J611/(100-BE611)*100</f>
        <v>0</v>
      </c>
      <c r="BE611" s="46">
        <v>0</v>
      </c>
      <c r="BF611" s="46">
        <f>611</f>
        <v>611</v>
      </c>
      <c r="BH611" s="46">
        <f>I611*AO611</f>
        <v>0</v>
      </c>
      <c r="BI611" s="46">
        <f>I611*AP611</f>
        <v>0</v>
      </c>
      <c r="BJ611" s="46">
        <f>I611*J611</f>
        <v>0</v>
      </c>
      <c r="BK611" s="46"/>
      <c r="BL611" s="46">
        <v>91</v>
      </c>
    </row>
    <row r="612" spans="1:15" ht="15" customHeight="1">
      <c r="A612" s="10"/>
      <c r="D612" s="32" t="s">
        <v>410</v>
      </c>
      <c r="G612" s="32" t="s">
        <v>1456</v>
      </c>
      <c r="I612" s="58">
        <v>299</v>
      </c>
      <c r="O612" s="30"/>
    </row>
    <row r="613" spans="1:64" ht="15" customHeight="1">
      <c r="A613" s="52" t="s">
        <v>907</v>
      </c>
      <c r="B613" s="43" t="s">
        <v>1482</v>
      </c>
      <c r="C613" s="43" t="s">
        <v>1440</v>
      </c>
      <c r="D613" s="61" t="s">
        <v>1140</v>
      </c>
      <c r="E613" s="61"/>
      <c r="F613" s="61"/>
      <c r="G613" s="61"/>
      <c r="H613" s="43" t="s">
        <v>749</v>
      </c>
      <c r="I613" s="46">
        <v>518.132</v>
      </c>
      <c r="J613" s="46">
        <v>0</v>
      </c>
      <c r="K613" s="46">
        <f>I613*AO613</f>
        <v>0</v>
      </c>
      <c r="L613" s="46">
        <f>I613*AP613</f>
        <v>0</v>
      </c>
      <c r="M613" s="46">
        <f>I613*J613</f>
        <v>0</v>
      </c>
      <c r="N613" s="46">
        <v>0</v>
      </c>
      <c r="O613" s="6" t="s">
        <v>1149</v>
      </c>
      <c r="Z613" s="46">
        <f>IF(AQ613="5",BJ613,0)</f>
        <v>0</v>
      </c>
      <c r="AB613" s="46">
        <f>IF(AQ613="1",BH613,0)</f>
        <v>0</v>
      </c>
      <c r="AC613" s="46">
        <f>IF(AQ613="1",BI613,0)</f>
        <v>0</v>
      </c>
      <c r="AD613" s="46">
        <f>IF(AQ613="7",BH613,0)</f>
        <v>0</v>
      </c>
      <c r="AE613" s="46">
        <f>IF(AQ613="7",BI613,0)</f>
        <v>0</v>
      </c>
      <c r="AF613" s="46">
        <f>IF(AQ613="2",BH613,0)</f>
        <v>0</v>
      </c>
      <c r="AG613" s="46">
        <f>IF(AQ613="2",BI613,0)</f>
        <v>0</v>
      </c>
      <c r="AH613" s="46">
        <f>IF(AQ613="0",BJ613,0)</f>
        <v>0</v>
      </c>
      <c r="AI613" s="1" t="s">
        <v>1482</v>
      </c>
      <c r="AJ613" s="46">
        <f>IF(AN613=0,M613,0)</f>
        <v>0</v>
      </c>
      <c r="AK613" s="46">
        <f>IF(AN613=15,M613,0)</f>
        <v>0</v>
      </c>
      <c r="AL613" s="46">
        <f>IF(AN613=21,M613,0)</f>
        <v>0</v>
      </c>
      <c r="AN613" s="46">
        <v>21</v>
      </c>
      <c r="AO613" s="46">
        <f>J613*0</f>
        <v>0</v>
      </c>
      <c r="AP613" s="46">
        <f>J613*(1-0)</f>
        <v>0</v>
      </c>
      <c r="AQ613" s="42" t="s">
        <v>880</v>
      </c>
      <c r="AV613" s="46">
        <f>AW613+AX613</f>
        <v>0</v>
      </c>
      <c r="AW613" s="46">
        <f>I613*AO613</f>
        <v>0</v>
      </c>
      <c r="AX613" s="46">
        <f>I613*AP613</f>
        <v>0</v>
      </c>
      <c r="AY613" s="42" t="s">
        <v>1616</v>
      </c>
      <c r="AZ613" s="42" t="s">
        <v>1625</v>
      </c>
      <c r="BA613" s="1" t="s">
        <v>1317</v>
      </c>
      <c r="BC613" s="46">
        <f>AW613+AX613</f>
        <v>0</v>
      </c>
      <c r="BD613" s="46">
        <f>J613/(100-BE613)*100</f>
        <v>0</v>
      </c>
      <c r="BE613" s="46">
        <v>0</v>
      </c>
      <c r="BF613" s="46">
        <f>613</f>
        <v>613</v>
      </c>
      <c r="BH613" s="46">
        <f>I613*AO613</f>
        <v>0</v>
      </c>
      <c r="BI613" s="46">
        <f>I613*AP613</f>
        <v>0</v>
      </c>
      <c r="BJ613" s="46">
        <f>I613*J613</f>
        <v>0</v>
      </c>
      <c r="BK613" s="46"/>
      <c r="BL613" s="46">
        <v>91</v>
      </c>
    </row>
    <row r="614" spans="1:15" ht="15" customHeight="1">
      <c r="A614" s="3" t="s">
        <v>1163</v>
      </c>
      <c r="B614" s="9" t="s">
        <v>1668</v>
      </c>
      <c r="C614" s="9" t="s">
        <v>1163</v>
      </c>
      <c r="D614" s="64" t="s">
        <v>1479</v>
      </c>
      <c r="E614" s="64"/>
      <c r="F614" s="64"/>
      <c r="G614" s="64"/>
      <c r="H614" s="41" t="s">
        <v>1537</v>
      </c>
      <c r="I614" s="41" t="s">
        <v>1537</v>
      </c>
      <c r="J614" s="41" t="s">
        <v>1537</v>
      </c>
      <c r="K614" s="50">
        <f>K615+K638+K641+K648+K652+K657+K663+K670+K675+K678+K683+K687+K700+K711+K747+K751</f>
        <v>0</v>
      </c>
      <c r="L614" s="50">
        <f>L615+L638+L641+L648+L652+L657+L663+L670+L675+L678+L683+L687+L700+L711+L747+L751</f>
        <v>0</v>
      </c>
      <c r="M614" s="50">
        <f>M615+M638+M641+M648+M652+M657+M663+M670+M675+M678+M683+M687+M700+M711+M747+M751</f>
        <v>0</v>
      </c>
      <c r="N614" s="1" t="s">
        <v>1163</v>
      </c>
      <c r="O614" s="45" t="s">
        <v>1163</v>
      </c>
    </row>
    <row r="615" spans="1:47" ht="15" customHeight="1">
      <c r="A615" s="3" t="s">
        <v>1163</v>
      </c>
      <c r="B615" s="9" t="s">
        <v>1668</v>
      </c>
      <c r="C615" s="9" t="s">
        <v>1385</v>
      </c>
      <c r="D615" s="64" t="s">
        <v>909</v>
      </c>
      <c r="E615" s="64"/>
      <c r="F615" s="64"/>
      <c r="G615" s="64"/>
      <c r="H615" s="41" t="s">
        <v>1537</v>
      </c>
      <c r="I615" s="41" t="s">
        <v>1537</v>
      </c>
      <c r="J615" s="41" t="s">
        <v>1537</v>
      </c>
      <c r="K615" s="50">
        <f>SUM(K616:K636)</f>
        <v>0</v>
      </c>
      <c r="L615" s="50">
        <f>SUM(L616:L636)</f>
        <v>0</v>
      </c>
      <c r="M615" s="50">
        <f>SUM(M616:M636)</f>
        <v>0</v>
      </c>
      <c r="N615" s="1" t="s">
        <v>1163</v>
      </c>
      <c r="O615" s="45" t="s">
        <v>1163</v>
      </c>
      <c r="AI615" s="1" t="s">
        <v>1668</v>
      </c>
      <c r="AS615" s="50">
        <f>SUM(AJ616:AJ636)</f>
        <v>0</v>
      </c>
      <c r="AT615" s="50">
        <f>SUM(AK616:AK636)</f>
        <v>0</v>
      </c>
      <c r="AU615" s="50">
        <f>SUM(AL616:AL636)</f>
        <v>0</v>
      </c>
    </row>
    <row r="616" spans="1:64" ht="15" customHeight="1">
      <c r="A616" s="52" t="s">
        <v>1608</v>
      </c>
      <c r="B616" s="43" t="s">
        <v>1668</v>
      </c>
      <c r="C616" s="43" t="s">
        <v>783</v>
      </c>
      <c r="D616" s="61" t="s">
        <v>1013</v>
      </c>
      <c r="E616" s="61"/>
      <c r="F616" s="61"/>
      <c r="G616" s="61"/>
      <c r="H616" s="43" t="s">
        <v>717</v>
      </c>
      <c r="I616" s="46">
        <v>25</v>
      </c>
      <c r="J616" s="46">
        <v>0</v>
      </c>
      <c r="K616" s="46">
        <f>I616*AO616</f>
        <v>0</v>
      </c>
      <c r="L616" s="46">
        <f>I616*AP616</f>
        <v>0</v>
      </c>
      <c r="M616" s="46">
        <f>I616*J616</f>
        <v>0</v>
      </c>
      <c r="N616" s="46">
        <v>0</v>
      </c>
      <c r="O616" s="6" t="s">
        <v>1149</v>
      </c>
      <c r="Z616" s="46">
        <f>IF(AQ616="5",BJ616,0)</f>
        <v>0</v>
      </c>
      <c r="AB616" s="46">
        <f>IF(AQ616="1",BH616,0)</f>
        <v>0</v>
      </c>
      <c r="AC616" s="46">
        <f>IF(AQ616="1",BI616,0)</f>
        <v>0</v>
      </c>
      <c r="AD616" s="46">
        <f>IF(AQ616="7",BH616,0)</f>
        <v>0</v>
      </c>
      <c r="AE616" s="46">
        <f>IF(AQ616="7",BI616,0)</f>
        <v>0</v>
      </c>
      <c r="AF616" s="46">
        <f>IF(AQ616="2",BH616,0)</f>
        <v>0</v>
      </c>
      <c r="AG616" s="46">
        <f>IF(AQ616="2",BI616,0)</f>
        <v>0</v>
      </c>
      <c r="AH616" s="46">
        <f>IF(AQ616="0",BJ616,0)</f>
        <v>0</v>
      </c>
      <c r="AI616" s="1" t="s">
        <v>1668</v>
      </c>
      <c r="AJ616" s="46">
        <f>IF(AN616=0,M616,0)</f>
        <v>0</v>
      </c>
      <c r="AK616" s="46">
        <f>IF(AN616=15,M616,0)</f>
        <v>0</v>
      </c>
      <c r="AL616" s="46">
        <f>IF(AN616=21,M616,0)</f>
        <v>0</v>
      </c>
      <c r="AN616" s="46">
        <v>21</v>
      </c>
      <c r="AO616" s="46">
        <f>J616*0</f>
        <v>0</v>
      </c>
      <c r="AP616" s="46">
        <f>J616*(1-0)</f>
        <v>0</v>
      </c>
      <c r="AQ616" s="42" t="s">
        <v>1648</v>
      </c>
      <c r="AV616" s="46">
        <f>AW616+AX616</f>
        <v>0</v>
      </c>
      <c r="AW616" s="46">
        <f>I616*AO616</f>
        <v>0</v>
      </c>
      <c r="AX616" s="46">
        <f>I616*AP616</f>
        <v>0</v>
      </c>
      <c r="AY616" s="42" t="s">
        <v>179</v>
      </c>
      <c r="AZ616" s="42" t="s">
        <v>815</v>
      </c>
      <c r="BA616" s="1" t="s">
        <v>172</v>
      </c>
      <c r="BC616" s="46">
        <f>AW616+AX616</f>
        <v>0</v>
      </c>
      <c r="BD616" s="46">
        <f>J616/(100-BE616)*100</f>
        <v>0</v>
      </c>
      <c r="BE616" s="46">
        <v>0</v>
      </c>
      <c r="BF616" s="46">
        <f>616</f>
        <v>616</v>
      </c>
      <c r="BH616" s="46">
        <f>I616*AO616</f>
        <v>0</v>
      </c>
      <c r="BI616" s="46">
        <f>I616*AP616</f>
        <v>0</v>
      </c>
      <c r="BJ616" s="46">
        <f>I616*J616</f>
        <v>0</v>
      </c>
      <c r="BK616" s="46"/>
      <c r="BL616" s="46">
        <v>11</v>
      </c>
    </row>
    <row r="617" spans="1:15" ht="15" customHeight="1">
      <c r="A617" s="10"/>
      <c r="D617" s="32" t="s">
        <v>389</v>
      </c>
      <c r="G617" s="32" t="s">
        <v>800</v>
      </c>
      <c r="I617" s="58">
        <v>25.000000000000004</v>
      </c>
      <c r="O617" s="30"/>
    </row>
    <row r="618" spans="1:64" ht="15" customHeight="1">
      <c r="A618" s="52" t="s">
        <v>1331</v>
      </c>
      <c r="B618" s="43" t="s">
        <v>1668</v>
      </c>
      <c r="C618" s="43" t="s">
        <v>177</v>
      </c>
      <c r="D618" s="61" t="s">
        <v>1278</v>
      </c>
      <c r="E618" s="61"/>
      <c r="F618" s="61"/>
      <c r="G618" s="61"/>
      <c r="H618" s="43" t="s">
        <v>1365</v>
      </c>
      <c r="I618" s="46">
        <v>10</v>
      </c>
      <c r="J618" s="46">
        <v>0</v>
      </c>
      <c r="K618" s="46">
        <f>I618*AO618</f>
        <v>0</v>
      </c>
      <c r="L618" s="46">
        <f>I618*AP618</f>
        <v>0</v>
      </c>
      <c r="M618" s="46">
        <f>I618*J618</f>
        <v>0</v>
      </c>
      <c r="N618" s="46">
        <v>0.00757</v>
      </c>
      <c r="O618" s="6" t="s">
        <v>1149</v>
      </c>
      <c r="Z618" s="46">
        <f>IF(AQ618="5",BJ618,0)</f>
        <v>0</v>
      </c>
      <c r="AB618" s="46">
        <f>IF(AQ618="1",BH618,0)</f>
        <v>0</v>
      </c>
      <c r="AC618" s="46">
        <f>IF(AQ618="1",BI618,0)</f>
        <v>0</v>
      </c>
      <c r="AD618" s="46">
        <f>IF(AQ618="7",BH618,0)</f>
        <v>0</v>
      </c>
      <c r="AE618" s="46">
        <f>IF(AQ618="7",BI618,0)</f>
        <v>0</v>
      </c>
      <c r="AF618" s="46">
        <f>IF(AQ618="2",BH618,0)</f>
        <v>0</v>
      </c>
      <c r="AG618" s="46">
        <f>IF(AQ618="2",BI618,0)</f>
        <v>0</v>
      </c>
      <c r="AH618" s="46">
        <f>IF(AQ618="0",BJ618,0)</f>
        <v>0</v>
      </c>
      <c r="AI618" s="1" t="s">
        <v>1668</v>
      </c>
      <c r="AJ618" s="46">
        <f>IF(AN618=0,M618,0)</f>
        <v>0</v>
      </c>
      <c r="AK618" s="46">
        <f>IF(AN618=15,M618,0)</f>
        <v>0</v>
      </c>
      <c r="AL618" s="46">
        <f>IF(AN618=21,M618,0)</f>
        <v>0</v>
      </c>
      <c r="AN618" s="46">
        <v>21</v>
      </c>
      <c r="AO618" s="46">
        <f>J618*0.379482761849473</f>
        <v>0</v>
      </c>
      <c r="AP618" s="46">
        <f>J618*(1-0.379482761849473)</f>
        <v>0</v>
      </c>
      <c r="AQ618" s="42" t="s">
        <v>1648</v>
      </c>
      <c r="AV618" s="46">
        <f>AW618+AX618</f>
        <v>0</v>
      </c>
      <c r="AW618" s="46">
        <f>I618*AO618</f>
        <v>0</v>
      </c>
      <c r="AX618" s="46">
        <f>I618*AP618</f>
        <v>0</v>
      </c>
      <c r="AY618" s="42" t="s">
        <v>179</v>
      </c>
      <c r="AZ618" s="42" t="s">
        <v>815</v>
      </c>
      <c r="BA618" s="1" t="s">
        <v>172</v>
      </c>
      <c r="BC618" s="46">
        <f>AW618+AX618</f>
        <v>0</v>
      </c>
      <c r="BD618" s="46">
        <f>J618/(100-BE618)*100</f>
        <v>0</v>
      </c>
      <c r="BE618" s="46">
        <v>0</v>
      </c>
      <c r="BF618" s="46">
        <f>618</f>
        <v>618</v>
      </c>
      <c r="BH618" s="46">
        <f>I618*AO618</f>
        <v>0</v>
      </c>
      <c r="BI618" s="46">
        <f>I618*AP618</f>
        <v>0</v>
      </c>
      <c r="BJ618" s="46">
        <f>I618*J618</f>
        <v>0</v>
      </c>
      <c r="BK618" s="46"/>
      <c r="BL618" s="46">
        <v>11</v>
      </c>
    </row>
    <row r="619" spans="1:64" ht="15" customHeight="1">
      <c r="A619" s="52" t="s">
        <v>1320</v>
      </c>
      <c r="B619" s="43" t="s">
        <v>1668</v>
      </c>
      <c r="C619" s="43" t="s">
        <v>1607</v>
      </c>
      <c r="D619" s="61" t="s">
        <v>582</v>
      </c>
      <c r="E619" s="61"/>
      <c r="F619" s="61"/>
      <c r="G619" s="61"/>
      <c r="H619" s="43" t="s">
        <v>92</v>
      </c>
      <c r="I619" s="46">
        <v>25</v>
      </c>
      <c r="J619" s="46">
        <v>0</v>
      </c>
      <c r="K619" s="46">
        <f>I619*AO619</f>
        <v>0</v>
      </c>
      <c r="L619" s="46">
        <f>I619*AP619</f>
        <v>0</v>
      </c>
      <c r="M619" s="46">
        <f>I619*J619</f>
        <v>0</v>
      </c>
      <c r="N619" s="46">
        <v>0</v>
      </c>
      <c r="O619" s="6" t="s">
        <v>1149</v>
      </c>
      <c r="Z619" s="46">
        <f>IF(AQ619="5",BJ619,0)</f>
        <v>0</v>
      </c>
      <c r="AB619" s="46">
        <f>IF(AQ619="1",BH619,0)</f>
        <v>0</v>
      </c>
      <c r="AC619" s="46">
        <f>IF(AQ619="1",BI619,0)</f>
        <v>0</v>
      </c>
      <c r="AD619" s="46">
        <f>IF(AQ619="7",BH619,0)</f>
        <v>0</v>
      </c>
      <c r="AE619" s="46">
        <f>IF(AQ619="7",BI619,0)</f>
        <v>0</v>
      </c>
      <c r="AF619" s="46">
        <f>IF(AQ619="2",BH619,0)</f>
        <v>0</v>
      </c>
      <c r="AG619" s="46">
        <f>IF(AQ619="2",BI619,0)</f>
        <v>0</v>
      </c>
      <c r="AH619" s="46">
        <f>IF(AQ619="0",BJ619,0)</f>
        <v>0</v>
      </c>
      <c r="AI619" s="1" t="s">
        <v>1668</v>
      </c>
      <c r="AJ619" s="46">
        <f>IF(AN619=0,M619,0)</f>
        <v>0</v>
      </c>
      <c r="AK619" s="46">
        <f>IF(AN619=15,M619,0)</f>
        <v>0</v>
      </c>
      <c r="AL619" s="46">
        <f>IF(AN619=21,M619,0)</f>
        <v>0</v>
      </c>
      <c r="AN619" s="46">
        <v>21</v>
      </c>
      <c r="AO619" s="46">
        <f>J619*0</f>
        <v>0</v>
      </c>
      <c r="AP619" s="46">
        <f>J619*(1-0)</f>
        <v>0</v>
      </c>
      <c r="AQ619" s="42" t="s">
        <v>1648</v>
      </c>
      <c r="AV619" s="46">
        <f>AW619+AX619</f>
        <v>0</v>
      </c>
      <c r="AW619" s="46">
        <f>I619*AO619</f>
        <v>0</v>
      </c>
      <c r="AX619" s="46">
        <f>I619*AP619</f>
        <v>0</v>
      </c>
      <c r="AY619" s="42" t="s">
        <v>179</v>
      </c>
      <c r="AZ619" s="42" t="s">
        <v>815</v>
      </c>
      <c r="BA619" s="1" t="s">
        <v>172</v>
      </c>
      <c r="BC619" s="46">
        <f>AW619+AX619</f>
        <v>0</v>
      </c>
      <c r="BD619" s="46">
        <f>J619/(100-BE619)*100</f>
        <v>0</v>
      </c>
      <c r="BE619" s="46">
        <v>0</v>
      </c>
      <c r="BF619" s="46">
        <f>619</f>
        <v>619</v>
      </c>
      <c r="BH619" s="46">
        <f>I619*AO619</f>
        <v>0</v>
      </c>
      <c r="BI619" s="46">
        <f>I619*AP619</f>
        <v>0</v>
      </c>
      <c r="BJ619" s="46">
        <f>I619*J619</f>
        <v>0</v>
      </c>
      <c r="BK619" s="46"/>
      <c r="BL619" s="46">
        <v>11</v>
      </c>
    </row>
    <row r="620" spans="1:15" ht="15" customHeight="1">
      <c r="A620" s="10"/>
      <c r="D620" s="32" t="s">
        <v>389</v>
      </c>
      <c r="G620" s="32" t="s">
        <v>800</v>
      </c>
      <c r="I620" s="58">
        <v>25.000000000000004</v>
      </c>
      <c r="O620" s="30"/>
    </row>
    <row r="621" spans="1:64" ht="15" customHeight="1">
      <c r="A621" s="52" t="s">
        <v>241</v>
      </c>
      <c r="B621" s="43" t="s">
        <v>1668</v>
      </c>
      <c r="C621" s="43" t="s">
        <v>1222</v>
      </c>
      <c r="D621" s="61" t="s">
        <v>1055</v>
      </c>
      <c r="E621" s="61"/>
      <c r="F621" s="61"/>
      <c r="G621" s="61"/>
      <c r="H621" s="43" t="s">
        <v>1365</v>
      </c>
      <c r="I621" s="46">
        <v>13</v>
      </c>
      <c r="J621" s="46">
        <v>0</v>
      </c>
      <c r="K621" s="46">
        <f>I621*AO621</f>
        <v>0</v>
      </c>
      <c r="L621" s="46">
        <f>I621*AP621</f>
        <v>0</v>
      </c>
      <c r="M621" s="46">
        <f>I621*J621</f>
        <v>0</v>
      </c>
      <c r="N621" s="46">
        <v>0.02478</v>
      </c>
      <c r="O621" s="6" t="s">
        <v>1149</v>
      </c>
      <c r="Z621" s="46">
        <f>IF(AQ621="5",BJ621,0)</f>
        <v>0</v>
      </c>
      <c r="AB621" s="46">
        <f>IF(AQ621="1",BH621,0)</f>
        <v>0</v>
      </c>
      <c r="AC621" s="46">
        <f>IF(AQ621="1",BI621,0)</f>
        <v>0</v>
      </c>
      <c r="AD621" s="46">
        <f>IF(AQ621="7",BH621,0)</f>
        <v>0</v>
      </c>
      <c r="AE621" s="46">
        <f>IF(AQ621="7",BI621,0)</f>
        <v>0</v>
      </c>
      <c r="AF621" s="46">
        <f>IF(AQ621="2",BH621,0)</f>
        <v>0</v>
      </c>
      <c r="AG621" s="46">
        <f>IF(AQ621="2",BI621,0)</f>
        <v>0</v>
      </c>
      <c r="AH621" s="46">
        <f>IF(AQ621="0",BJ621,0)</f>
        <v>0</v>
      </c>
      <c r="AI621" s="1" t="s">
        <v>1668</v>
      </c>
      <c r="AJ621" s="46">
        <f>IF(AN621=0,M621,0)</f>
        <v>0</v>
      </c>
      <c r="AK621" s="46">
        <f>IF(AN621=15,M621,0)</f>
        <v>0</v>
      </c>
      <c r="AL621" s="46">
        <f>IF(AN621=21,M621,0)</f>
        <v>0</v>
      </c>
      <c r="AN621" s="46">
        <v>21</v>
      </c>
      <c r="AO621" s="46">
        <f>J621*0.352956636005256</f>
        <v>0</v>
      </c>
      <c r="AP621" s="46">
        <f>J621*(1-0.352956636005256)</f>
        <v>0</v>
      </c>
      <c r="AQ621" s="42" t="s">
        <v>1648</v>
      </c>
      <c r="AV621" s="46">
        <f>AW621+AX621</f>
        <v>0</v>
      </c>
      <c r="AW621" s="46">
        <f>I621*AO621</f>
        <v>0</v>
      </c>
      <c r="AX621" s="46">
        <f>I621*AP621</f>
        <v>0</v>
      </c>
      <c r="AY621" s="42" t="s">
        <v>179</v>
      </c>
      <c r="AZ621" s="42" t="s">
        <v>815</v>
      </c>
      <c r="BA621" s="1" t="s">
        <v>172</v>
      </c>
      <c r="BC621" s="46">
        <f>AW621+AX621</f>
        <v>0</v>
      </c>
      <c r="BD621" s="46">
        <f>J621/(100-BE621)*100</f>
        <v>0</v>
      </c>
      <c r="BE621" s="46">
        <v>0</v>
      </c>
      <c r="BF621" s="46">
        <f>621</f>
        <v>621</v>
      </c>
      <c r="BH621" s="46">
        <f>I621*AO621</f>
        <v>0</v>
      </c>
      <c r="BI621" s="46">
        <f>I621*AP621</f>
        <v>0</v>
      </c>
      <c r="BJ621" s="46">
        <f>I621*J621</f>
        <v>0</v>
      </c>
      <c r="BK621" s="46"/>
      <c r="BL621" s="46">
        <v>11</v>
      </c>
    </row>
    <row r="622" spans="1:15" ht="15" customHeight="1">
      <c r="A622" s="10"/>
      <c r="D622" s="32" t="s">
        <v>312</v>
      </c>
      <c r="G622" s="32" t="s">
        <v>1163</v>
      </c>
      <c r="I622" s="58">
        <v>13.000000000000002</v>
      </c>
      <c r="O622" s="30"/>
    </row>
    <row r="623" spans="1:64" ht="15" customHeight="1">
      <c r="A623" s="52" t="s">
        <v>701</v>
      </c>
      <c r="B623" s="43" t="s">
        <v>1668</v>
      </c>
      <c r="C623" s="43" t="s">
        <v>1393</v>
      </c>
      <c r="D623" s="61" t="s">
        <v>1564</v>
      </c>
      <c r="E623" s="61"/>
      <c r="F623" s="61"/>
      <c r="G623" s="61"/>
      <c r="H623" s="43" t="s">
        <v>1365</v>
      </c>
      <c r="I623" s="46">
        <v>20</v>
      </c>
      <c r="J623" s="46">
        <v>0</v>
      </c>
      <c r="K623" s="46">
        <f>I623*AO623</f>
        <v>0</v>
      </c>
      <c r="L623" s="46">
        <f>I623*AP623</f>
        <v>0</v>
      </c>
      <c r="M623" s="46">
        <f>I623*J623</f>
        <v>0</v>
      </c>
      <c r="N623" s="46">
        <v>0.00869</v>
      </c>
      <c r="O623" s="6" t="s">
        <v>1149</v>
      </c>
      <c r="Z623" s="46">
        <f>IF(AQ623="5",BJ623,0)</f>
        <v>0</v>
      </c>
      <c r="AB623" s="46">
        <f>IF(AQ623="1",BH623,0)</f>
        <v>0</v>
      </c>
      <c r="AC623" s="46">
        <f>IF(AQ623="1",BI623,0)</f>
        <v>0</v>
      </c>
      <c r="AD623" s="46">
        <f>IF(AQ623="7",BH623,0)</f>
        <v>0</v>
      </c>
      <c r="AE623" s="46">
        <f>IF(AQ623="7",BI623,0)</f>
        <v>0</v>
      </c>
      <c r="AF623" s="46">
        <f>IF(AQ623="2",BH623,0)</f>
        <v>0</v>
      </c>
      <c r="AG623" s="46">
        <f>IF(AQ623="2",BI623,0)</f>
        <v>0</v>
      </c>
      <c r="AH623" s="46">
        <f>IF(AQ623="0",BJ623,0)</f>
        <v>0</v>
      </c>
      <c r="AI623" s="1" t="s">
        <v>1668</v>
      </c>
      <c r="AJ623" s="46">
        <f>IF(AN623=0,M623,0)</f>
        <v>0</v>
      </c>
      <c r="AK623" s="46">
        <f>IF(AN623=15,M623,0)</f>
        <v>0</v>
      </c>
      <c r="AL623" s="46">
        <f>IF(AN623=21,M623,0)</f>
        <v>0</v>
      </c>
      <c r="AN623" s="46">
        <v>21</v>
      </c>
      <c r="AO623" s="46">
        <f>J623*0.282187147688839</f>
        <v>0</v>
      </c>
      <c r="AP623" s="46">
        <f>J623*(1-0.282187147688839)</f>
        <v>0</v>
      </c>
      <c r="AQ623" s="42" t="s">
        <v>1648</v>
      </c>
      <c r="AV623" s="46">
        <f>AW623+AX623</f>
        <v>0</v>
      </c>
      <c r="AW623" s="46">
        <f>I623*AO623</f>
        <v>0</v>
      </c>
      <c r="AX623" s="46">
        <f>I623*AP623</f>
        <v>0</v>
      </c>
      <c r="AY623" s="42" t="s">
        <v>179</v>
      </c>
      <c r="AZ623" s="42" t="s">
        <v>815</v>
      </c>
      <c r="BA623" s="1" t="s">
        <v>172</v>
      </c>
      <c r="BC623" s="46">
        <f>AW623+AX623</f>
        <v>0</v>
      </c>
      <c r="BD623" s="46">
        <f>J623/(100-BE623)*100</f>
        <v>0</v>
      </c>
      <c r="BE623" s="46">
        <v>0</v>
      </c>
      <c r="BF623" s="46">
        <f>623</f>
        <v>623</v>
      </c>
      <c r="BH623" s="46">
        <f>I623*AO623</f>
        <v>0</v>
      </c>
      <c r="BI623" s="46">
        <f>I623*AP623</f>
        <v>0</v>
      </c>
      <c r="BJ623" s="46">
        <f>I623*J623</f>
        <v>0</v>
      </c>
      <c r="BK623" s="46"/>
      <c r="BL623" s="46">
        <v>11</v>
      </c>
    </row>
    <row r="624" spans="1:15" ht="15" customHeight="1">
      <c r="A624" s="10"/>
      <c r="D624" s="32" t="s">
        <v>455</v>
      </c>
      <c r="G624" s="32" t="s">
        <v>1163</v>
      </c>
      <c r="I624" s="58">
        <v>20</v>
      </c>
      <c r="O624" s="30"/>
    </row>
    <row r="625" spans="1:64" ht="15" customHeight="1">
      <c r="A625" s="52" t="s">
        <v>340</v>
      </c>
      <c r="B625" s="43" t="s">
        <v>1668</v>
      </c>
      <c r="C625" s="43" t="s">
        <v>1661</v>
      </c>
      <c r="D625" s="61" t="s">
        <v>1424</v>
      </c>
      <c r="E625" s="61"/>
      <c r="F625" s="61"/>
      <c r="G625" s="61"/>
      <c r="H625" s="43" t="s">
        <v>1365</v>
      </c>
      <c r="I625" s="46">
        <v>125</v>
      </c>
      <c r="J625" s="46">
        <v>0</v>
      </c>
      <c r="K625" s="46">
        <f>I625*AO625</f>
        <v>0</v>
      </c>
      <c r="L625" s="46">
        <f>I625*AP625</f>
        <v>0</v>
      </c>
      <c r="M625" s="46">
        <f>I625*J625</f>
        <v>0</v>
      </c>
      <c r="N625" s="46">
        <v>0.01271</v>
      </c>
      <c r="O625" s="6" t="s">
        <v>1149</v>
      </c>
      <c r="Z625" s="46">
        <f>IF(AQ625="5",BJ625,0)</f>
        <v>0</v>
      </c>
      <c r="AB625" s="46">
        <f>IF(AQ625="1",BH625,0)</f>
        <v>0</v>
      </c>
      <c r="AC625" s="46">
        <f>IF(AQ625="1",BI625,0)</f>
        <v>0</v>
      </c>
      <c r="AD625" s="46">
        <f>IF(AQ625="7",BH625,0)</f>
        <v>0</v>
      </c>
      <c r="AE625" s="46">
        <f>IF(AQ625="7",BI625,0)</f>
        <v>0</v>
      </c>
      <c r="AF625" s="46">
        <f>IF(AQ625="2",BH625,0)</f>
        <v>0</v>
      </c>
      <c r="AG625" s="46">
        <f>IF(AQ625="2",BI625,0)</f>
        <v>0</v>
      </c>
      <c r="AH625" s="46">
        <f>IF(AQ625="0",BJ625,0)</f>
        <v>0</v>
      </c>
      <c r="AI625" s="1" t="s">
        <v>1668</v>
      </c>
      <c r="AJ625" s="46">
        <f>IF(AN625=0,M625,0)</f>
        <v>0</v>
      </c>
      <c r="AK625" s="46">
        <f>IF(AN625=15,M625,0)</f>
        <v>0</v>
      </c>
      <c r="AL625" s="46">
        <f>IF(AN625=21,M625,0)</f>
        <v>0</v>
      </c>
      <c r="AN625" s="46">
        <v>21</v>
      </c>
      <c r="AO625" s="46">
        <f>J625*0.256844997804501</f>
        <v>0</v>
      </c>
      <c r="AP625" s="46">
        <f>J625*(1-0.256844997804501)</f>
        <v>0</v>
      </c>
      <c r="AQ625" s="42" t="s">
        <v>1648</v>
      </c>
      <c r="AV625" s="46">
        <f>AW625+AX625</f>
        <v>0</v>
      </c>
      <c r="AW625" s="46">
        <f>I625*AO625</f>
        <v>0</v>
      </c>
      <c r="AX625" s="46">
        <f>I625*AP625</f>
        <v>0</v>
      </c>
      <c r="AY625" s="42" t="s">
        <v>179</v>
      </c>
      <c r="AZ625" s="42" t="s">
        <v>815</v>
      </c>
      <c r="BA625" s="1" t="s">
        <v>172</v>
      </c>
      <c r="BC625" s="46">
        <f>AW625+AX625</f>
        <v>0</v>
      </c>
      <c r="BD625" s="46">
        <f>J625/(100-BE625)*100</f>
        <v>0</v>
      </c>
      <c r="BE625" s="46">
        <v>0</v>
      </c>
      <c r="BF625" s="46">
        <f>625</f>
        <v>625</v>
      </c>
      <c r="BH625" s="46">
        <f>I625*AO625</f>
        <v>0</v>
      </c>
      <c r="BI625" s="46">
        <f>I625*AP625</f>
        <v>0</v>
      </c>
      <c r="BJ625" s="46">
        <f>I625*J625</f>
        <v>0</v>
      </c>
      <c r="BK625" s="46"/>
      <c r="BL625" s="46">
        <v>11</v>
      </c>
    </row>
    <row r="626" spans="1:15" ht="15" customHeight="1">
      <c r="A626" s="10"/>
      <c r="D626" s="32" t="s">
        <v>1783</v>
      </c>
      <c r="G626" s="32" t="s">
        <v>1759</v>
      </c>
      <c r="I626" s="58">
        <v>125.00000000000001</v>
      </c>
      <c r="O626" s="30"/>
    </row>
    <row r="627" spans="1:64" ht="15" customHeight="1">
      <c r="A627" s="52" t="s">
        <v>686</v>
      </c>
      <c r="B627" s="43" t="s">
        <v>1668</v>
      </c>
      <c r="C627" s="43" t="s">
        <v>982</v>
      </c>
      <c r="D627" s="61" t="s">
        <v>833</v>
      </c>
      <c r="E627" s="61"/>
      <c r="F627" s="61"/>
      <c r="G627" s="61"/>
      <c r="H627" s="43" t="s">
        <v>1629</v>
      </c>
      <c r="I627" s="46">
        <v>350.19</v>
      </c>
      <c r="J627" s="46">
        <v>0</v>
      </c>
      <c r="K627" s="46">
        <f>I627*AO627</f>
        <v>0</v>
      </c>
      <c r="L627" s="46">
        <f>I627*AP627</f>
        <v>0</v>
      </c>
      <c r="M627" s="46">
        <f>I627*J627</f>
        <v>0</v>
      </c>
      <c r="N627" s="46">
        <v>0</v>
      </c>
      <c r="O627" s="6" t="s">
        <v>1149</v>
      </c>
      <c r="Z627" s="46">
        <f>IF(AQ627="5",BJ627,0)</f>
        <v>0</v>
      </c>
      <c r="AB627" s="46">
        <f>IF(AQ627="1",BH627,0)</f>
        <v>0</v>
      </c>
      <c r="AC627" s="46">
        <f>IF(AQ627="1",BI627,0)</f>
        <v>0</v>
      </c>
      <c r="AD627" s="46">
        <f>IF(AQ627="7",BH627,0)</f>
        <v>0</v>
      </c>
      <c r="AE627" s="46">
        <f>IF(AQ627="7",BI627,0)</f>
        <v>0</v>
      </c>
      <c r="AF627" s="46">
        <f>IF(AQ627="2",BH627,0)</f>
        <v>0</v>
      </c>
      <c r="AG627" s="46">
        <f>IF(AQ627="2",BI627,0)</f>
        <v>0</v>
      </c>
      <c r="AH627" s="46">
        <f>IF(AQ627="0",BJ627,0)</f>
        <v>0</v>
      </c>
      <c r="AI627" s="1" t="s">
        <v>1668</v>
      </c>
      <c r="AJ627" s="46">
        <f>IF(AN627=0,M627,0)</f>
        <v>0</v>
      </c>
      <c r="AK627" s="46">
        <f>IF(AN627=15,M627,0)</f>
        <v>0</v>
      </c>
      <c r="AL627" s="46">
        <f>IF(AN627=21,M627,0)</f>
        <v>0</v>
      </c>
      <c r="AN627" s="46">
        <v>21</v>
      </c>
      <c r="AO627" s="46">
        <f>J627*0</f>
        <v>0</v>
      </c>
      <c r="AP627" s="46">
        <f>J627*(1-0)</f>
        <v>0</v>
      </c>
      <c r="AQ627" s="42" t="s">
        <v>1648</v>
      </c>
      <c r="AV627" s="46">
        <f>AW627+AX627</f>
        <v>0</v>
      </c>
      <c r="AW627" s="46">
        <f>I627*AO627</f>
        <v>0</v>
      </c>
      <c r="AX627" s="46">
        <f>I627*AP627</f>
        <v>0</v>
      </c>
      <c r="AY627" s="42" t="s">
        <v>179</v>
      </c>
      <c r="AZ627" s="42" t="s">
        <v>815</v>
      </c>
      <c r="BA627" s="1" t="s">
        <v>172</v>
      </c>
      <c r="BC627" s="46">
        <f>AW627+AX627</f>
        <v>0</v>
      </c>
      <c r="BD627" s="46">
        <f>J627/(100-BE627)*100</f>
        <v>0</v>
      </c>
      <c r="BE627" s="46">
        <v>0</v>
      </c>
      <c r="BF627" s="46">
        <f>627</f>
        <v>627</v>
      </c>
      <c r="BH627" s="46">
        <f>I627*AO627</f>
        <v>0</v>
      </c>
      <c r="BI627" s="46">
        <f>I627*AP627</f>
        <v>0</v>
      </c>
      <c r="BJ627" s="46">
        <f>I627*J627</f>
        <v>0</v>
      </c>
      <c r="BK627" s="46"/>
      <c r="BL627" s="46">
        <v>11</v>
      </c>
    </row>
    <row r="628" spans="1:15" ht="15" customHeight="1">
      <c r="A628" s="10"/>
      <c r="D628" s="32" t="s">
        <v>1185</v>
      </c>
      <c r="G628" s="32" t="s">
        <v>1060</v>
      </c>
      <c r="I628" s="58">
        <v>350.19000000000005</v>
      </c>
      <c r="O628" s="30"/>
    </row>
    <row r="629" spans="1:64" ht="15" customHeight="1">
      <c r="A629" s="52" t="s">
        <v>31</v>
      </c>
      <c r="B629" s="43" t="s">
        <v>1668</v>
      </c>
      <c r="C629" s="43" t="s">
        <v>1868</v>
      </c>
      <c r="D629" s="61" t="s">
        <v>951</v>
      </c>
      <c r="E629" s="61"/>
      <c r="F629" s="61"/>
      <c r="G629" s="61"/>
      <c r="H629" s="43" t="s">
        <v>1629</v>
      </c>
      <c r="I629" s="46">
        <v>350.19</v>
      </c>
      <c r="J629" s="46">
        <v>0</v>
      </c>
      <c r="K629" s="46">
        <f>I629*AO629</f>
        <v>0</v>
      </c>
      <c r="L629" s="46">
        <f>I629*AP629</f>
        <v>0</v>
      </c>
      <c r="M629" s="46">
        <f>I629*J629</f>
        <v>0</v>
      </c>
      <c r="N629" s="46">
        <v>0</v>
      </c>
      <c r="O629" s="6" t="s">
        <v>1149</v>
      </c>
      <c r="Z629" s="46">
        <f>IF(AQ629="5",BJ629,0)</f>
        <v>0</v>
      </c>
      <c r="AB629" s="46">
        <f>IF(AQ629="1",BH629,0)</f>
        <v>0</v>
      </c>
      <c r="AC629" s="46">
        <f>IF(AQ629="1",BI629,0)</f>
        <v>0</v>
      </c>
      <c r="AD629" s="46">
        <f>IF(AQ629="7",BH629,0)</f>
        <v>0</v>
      </c>
      <c r="AE629" s="46">
        <f>IF(AQ629="7",BI629,0)</f>
        <v>0</v>
      </c>
      <c r="AF629" s="46">
        <f>IF(AQ629="2",BH629,0)</f>
        <v>0</v>
      </c>
      <c r="AG629" s="46">
        <f>IF(AQ629="2",BI629,0)</f>
        <v>0</v>
      </c>
      <c r="AH629" s="46">
        <f>IF(AQ629="0",BJ629,0)</f>
        <v>0</v>
      </c>
      <c r="AI629" s="1" t="s">
        <v>1668</v>
      </c>
      <c r="AJ629" s="46">
        <f>IF(AN629=0,M629,0)</f>
        <v>0</v>
      </c>
      <c r="AK629" s="46">
        <f>IF(AN629=15,M629,0)</f>
        <v>0</v>
      </c>
      <c r="AL629" s="46">
        <f>IF(AN629=21,M629,0)</f>
        <v>0</v>
      </c>
      <c r="AN629" s="46">
        <v>21</v>
      </c>
      <c r="AO629" s="46">
        <f>J629*0</f>
        <v>0</v>
      </c>
      <c r="AP629" s="46">
        <f>J629*(1-0)</f>
        <v>0</v>
      </c>
      <c r="AQ629" s="42" t="s">
        <v>1648</v>
      </c>
      <c r="AV629" s="46">
        <f>AW629+AX629</f>
        <v>0</v>
      </c>
      <c r="AW629" s="46">
        <f>I629*AO629</f>
        <v>0</v>
      </c>
      <c r="AX629" s="46">
        <f>I629*AP629</f>
        <v>0</v>
      </c>
      <c r="AY629" s="42" t="s">
        <v>179</v>
      </c>
      <c r="AZ629" s="42" t="s">
        <v>815</v>
      </c>
      <c r="BA629" s="1" t="s">
        <v>172</v>
      </c>
      <c r="BC629" s="46">
        <f>AW629+AX629</f>
        <v>0</v>
      </c>
      <c r="BD629" s="46">
        <f>J629/(100-BE629)*100</f>
        <v>0</v>
      </c>
      <c r="BE629" s="46">
        <v>0</v>
      </c>
      <c r="BF629" s="46">
        <f>629</f>
        <v>629</v>
      </c>
      <c r="BH629" s="46">
        <f>I629*AO629</f>
        <v>0</v>
      </c>
      <c r="BI629" s="46">
        <f>I629*AP629</f>
        <v>0</v>
      </c>
      <c r="BJ629" s="46">
        <f>I629*J629</f>
        <v>0</v>
      </c>
      <c r="BK629" s="46"/>
      <c r="BL629" s="46">
        <v>11</v>
      </c>
    </row>
    <row r="630" spans="1:64" ht="15" customHeight="1">
      <c r="A630" s="52" t="s">
        <v>1428</v>
      </c>
      <c r="B630" s="43" t="s">
        <v>1668</v>
      </c>
      <c r="C630" s="43" t="s">
        <v>654</v>
      </c>
      <c r="D630" s="61" t="s">
        <v>487</v>
      </c>
      <c r="E630" s="61"/>
      <c r="F630" s="61"/>
      <c r="G630" s="61"/>
      <c r="H630" s="43" t="s">
        <v>749</v>
      </c>
      <c r="I630" s="46">
        <v>77.0418</v>
      </c>
      <c r="J630" s="46">
        <v>0</v>
      </c>
      <c r="K630" s="46">
        <f>I630*AO630</f>
        <v>0</v>
      </c>
      <c r="L630" s="46">
        <f>I630*AP630</f>
        <v>0</v>
      </c>
      <c r="M630" s="46">
        <f>I630*J630</f>
        <v>0</v>
      </c>
      <c r="N630" s="46">
        <v>0</v>
      </c>
      <c r="O630" s="6" t="s">
        <v>1149</v>
      </c>
      <c r="Z630" s="46">
        <f>IF(AQ630="5",BJ630,0)</f>
        <v>0</v>
      </c>
      <c r="AB630" s="46">
        <f>IF(AQ630="1",BH630,0)</f>
        <v>0</v>
      </c>
      <c r="AC630" s="46">
        <f>IF(AQ630="1",BI630,0)</f>
        <v>0</v>
      </c>
      <c r="AD630" s="46">
        <f>IF(AQ630="7",BH630,0)</f>
        <v>0</v>
      </c>
      <c r="AE630" s="46">
        <f>IF(AQ630="7",BI630,0)</f>
        <v>0</v>
      </c>
      <c r="AF630" s="46">
        <f>IF(AQ630="2",BH630,0)</f>
        <v>0</v>
      </c>
      <c r="AG630" s="46">
        <f>IF(AQ630="2",BI630,0)</f>
        <v>0</v>
      </c>
      <c r="AH630" s="46">
        <f>IF(AQ630="0",BJ630,0)</f>
        <v>0</v>
      </c>
      <c r="AI630" s="1" t="s">
        <v>1668</v>
      </c>
      <c r="AJ630" s="46">
        <f>IF(AN630=0,M630,0)</f>
        <v>0</v>
      </c>
      <c r="AK630" s="46">
        <f>IF(AN630=15,M630,0)</f>
        <v>0</v>
      </c>
      <c r="AL630" s="46">
        <f>IF(AN630=21,M630,0)</f>
        <v>0</v>
      </c>
      <c r="AN630" s="46">
        <v>21</v>
      </c>
      <c r="AO630" s="46">
        <f>J630*0</f>
        <v>0</v>
      </c>
      <c r="AP630" s="46">
        <f>J630*(1-0)</f>
        <v>0</v>
      </c>
      <c r="AQ630" s="42" t="s">
        <v>880</v>
      </c>
      <c r="AV630" s="46">
        <f>AW630+AX630</f>
        <v>0</v>
      </c>
      <c r="AW630" s="46">
        <f>I630*AO630</f>
        <v>0</v>
      </c>
      <c r="AX630" s="46">
        <f>I630*AP630</f>
        <v>0</v>
      </c>
      <c r="AY630" s="42" t="s">
        <v>179</v>
      </c>
      <c r="AZ630" s="42" t="s">
        <v>815</v>
      </c>
      <c r="BA630" s="1" t="s">
        <v>172</v>
      </c>
      <c r="BC630" s="46">
        <f>AW630+AX630</f>
        <v>0</v>
      </c>
      <c r="BD630" s="46">
        <f>J630/(100-BE630)*100</f>
        <v>0</v>
      </c>
      <c r="BE630" s="46">
        <v>0</v>
      </c>
      <c r="BF630" s="46">
        <f>630</f>
        <v>630</v>
      </c>
      <c r="BH630" s="46">
        <f>I630*AO630</f>
        <v>0</v>
      </c>
      <c r="BI630" s="46">
        <f>I630*AP630</f>
        <v>0</v>
      </c>
      <c r="BJ630" s="46">
        <f>I630*J630</f>
        <v>0</v>
      </c>
      <c r="BK630" s="46"/>
      <c r="BL630" s="46">
        <v>11</v>
      </c>
    </row>
    <row r="631" spans="1:15" ht="15" customHeight="1">
      <c r="A631" s="10"/>
      <c r="D631" s="32" t="s">
        <v>1729</v>
      </c>
      <c r="G631" s="32" t="s">
        <v>1719</v>
      </c>
      <c r="I631" s="58">
        <v>77.04180000000001</v>
      </c>
      <c r="O631" s="30"/>
    </row>
    <row r="632" spans="1:64" ht="15" customHeight="1">
      <c r="A632" s="52" t="s">
        <v>1508</v>
      </c>
      <c r="B632" s="43" t="s">
        <v>1668</v>
      </c>
      <c r="C632" s="43" t="s">
        <v>1281</v>
      </c>
      <c r="D632" s="61" t="s">
        <v>869</v>
      </c>
      <c r="E632" s="61"/>
      <c r="F632" s="61"/>
      <c r="G632" s="61"/>
      <c r="H632" s="43" t="s">
        <v>749</v>
      </c>
      <c r="I632" s="46">
        <v>4.7</v>
      </c>
      <c r="J632" s="46">
        <v>0</v>
      </c>
      <c r="K632" s="46">
        <f>I632*AO632</f>
        <v>0</v>
      </c>
      <c r="L632" s="46">
        <f>I632*AP632</f>
        <v>0</v>
      </c>
      <c r="M632" s="46">
        <f>I632*J632</f>
        <v>0</v>
      </c>
      <c r="N632" s="46">
        <v>0</v>
      </c>
      <c r="O632" s="6" t="s">
        <v>1149</v>
      </c>
      <c r="Z632" s="46">
        <f>IF(AQ632="5",BJ632,0)</f>
        <v>0</v>
      </c>
      <c r="AB632" s="46">
        <f>IF(AQ632="1",BH632,0)</f>
        <v>0</v>
      </c>
      <c r="AC632" s="46">
        <f>IF(AQ632="1",BI632,0)</f>
        <v>0</v>
      </c>
      <c r="AD632" s="46">
        <f>IF(AQ632="7",BH632,0)</f>
        <v>0</v>
      </c>
      <c r="AE632" s="46">
        <f>IF(AQ632="7",BI632,0)</f>
        <v>0</v>
      </c>
      <c r="AF632" s="46">
        <f>IF(AQ632="2",BH632,0)</f>
        <v>0</v>
      </c>
      <c r="AG632" s="46">
        <f>IF(AQ632="2",BI632,0)</f>
        <v>0</v>
      </c>
      <c r="AH632" s="46">
        <f>IF(AQ632="0",BJ632,0)</f>
        <v>0</v>
      </c>
      <c r="AI632" s="1" t="s">
        <v>1668</v>
      </c>
      <c r="AJ632" s="46">
        <f>IF(AN632=0,M632,0)</f>
        <v>0</v>
      </c>
      <c r="AK632" s="46">
        <f>IF(AN632=15,M632,0)</f>
        <v>0</v>
      </c>
      <c r="AL632" s="46">
        <f>IF(AN632=21,M632,0)</f>
        <v>0</v>
      </c>
      <c r="AN632" s="46">
        <v>21</v>
      </c>
      <c r="AO632" s="46">
        <f>J632*0</f>
        <v>0</v>
      </c>
      <c r="AP632" s="46">
        <f>J632*(1-0)</f>
        <v>0</v>
      </c>
      <c r="AQ632" s="42" t="s">
        <v>880</v>
      </c>
      <c r="AV632" s="46">
        <f>AW632+AX632</f>
        <v>0</v>
      </c>
      <c r="AW632" s="46">
        <f>I632*AO632</f>
        <v>0</v>
      </c>
      <c r="AX632" s="46">
        <f>I632*AP632</f>
        <v>0</v>
      </c>
      <c r="AY632" s="42" t="s">
        <v>179</v>
      </c>
      <c r="AZ632" s="42" t="s">
        <v>815</v>
      </c>
      <c r="BA632" s="1" t="s">
        <v>172</v>
      </c>
      <c r="BC632" s="46">
        <f>AW632+AX632</f>
        <v>0</v>
      </c>
      <c r="BD632" s="46">
        <f>J632/(100-BE632)*100</f>
        <v>0</v>
      </c>
      <c r="BE632" s="46">
        <v>0</v>
      </c>
      <c r="BF632" s="46">
        <f>632</f>
        <v>632</v>
      </c>
      <c r="BH632" s="46">
        <f>I632*AO632</f>
        <v>0</v>
      </c>
      <c r="BI632" s="46">
        <f>I632*AP632</f>
        <v>0</v>
      </c>
      <c r="BJ632" s="46">
        <f>I632*J632</f>
        <v>0</v>
      </c>
      <c r="BK632" s="46"/>
      <c r="BL632" s="46">
        <v>11</v>
      </c>
    </row>
    <row r="633" spans="1:15" ht="15" customHeight="1">
      <c r="A633" s="10"/>
      <c r="D633" s="32" t="s">
        <v>280</v>
      </c>
      <c r="G633" s="32" t="s">
        <v>195</v>
      </c>
      <c r="I633" s="58">
        <v>4.7</v>
      </c>
      <c r="O633" s="30"/>
    </row>
    <row r="634" spans="1:64" ht="15" customHeight="1">
      <c r="A634" s="52" t="s">
        <v>1310</v>
      </c>
      <c r="B634" s="43" t="s">
        <v>1668</v>
      </c>
      <c r="C634" s="43" t="s">
        <v>0</v>
      </c>
      <c r="D634" s="61" t="s">
        <v>406</v>
      </c>
      <c r="E634" s="61"/>
      <c r="F634" s="61"/>
      <c r="G634" s="61"/>
      <c r="H634" s="43" t="s">
        <v>749</v>
      </c>
      <c r="I634" s="46">
        <v>9.4</v>
      </c>
      <c r="J634" s="46">
        <v>0</v>
      </c>
      <c r="K634" s="46">
        <f>I634*AO634</f>
        <v>0</v>
      </c>
      <c r="L634" s="46">
        <f>I634*AP634</f>
        <v>0</v>
      </c>
      <c r="M634" s="46">
        <f>I634*J634</f>
        <v>0</v>
      </c>
      <c r="N634" s="46">
        <v>0</v>
      </c>
      <c r="O634" s="6" t="s">
        <v>1149</v>
      </c>
      <c r="Z634" s="46">
        <f>IF(AQ634="5",BJ634,0)</f>
        <v>0</v>
      </c>
      <c r="AB634" s="46">
        <f>IF(AQ634="1",BH634,0)</f>
        <v>0</v>
      </c>
      <c r="AC634" s="46">
        <f>IF(AQ634="1",BI634,0)</f>
        <v>0</v>
      </c>
      <c r="AD634" s="46">
        <f>IF(AQ634="7",BH634,0)</f>
        <v>0</v>
      </c>
      <c r="AE634" s="46">
        <f>IF(AQ634="7",BI634,0)</f>
        <v>0</v>
      </c>
      <c r="AF634" s="46">
        <f>IF(AQ634="2",BH634,0)</f>
        <v>0</v>
      </c>
      <c r="AG634" s="46">
        <f>IF(AQ634="2",BI634,0)</f>
        <v>0</v>
      </c>
      <c r="AH634" s="46">
        <f>IF(AQ634="0",BJ634,0)</f>
        <v>0</v>
      </c>
      <c r="AI634" s="1" t="s">
        <v>1668</v>
      </c>
      <c r="AJ634" s="46">
        <f>IF(AN634=0,M634,0)</f>
        <v>0</v>
      </c>
      <c r="AK634" s="46">
        <f>IF(AN634=15,M634,0)</f>
        <v>0</v>
      </c>
      <c r="AL634" s="46">
        <f>IF(AN634=21,M634,0)</f>
        <v>0</v>
      </c>
      <c r="AN634" s="46">
        <v>21</v>
      </c>
      <c r="AO634" s="46">
        <f>J634*0</f>
        <v>0</v>
      </c>
      <c r="AP634" s="46">
        <f>J634*(1-0)</f>
        <v>0</v>
      </c>
      <c r="AQ634" s="42" t="s">
        <v>880</v>
      </c>
      <c r="AV634" s="46">
        <f>AW634+AX634</f>
        <v>0</v>
      </c>
      <c r="AW634" s="46">
        <f>I634*AO634</f>
        <v>0</v>
      </c>
      <c r="AX634" s="46">
        <f>I634*AP634</f>
        <v>0</v>
      </c>
      <c r="AY634" s="42" t="s">
        <v>179</v>
      </c>
      <c r="AZ634" s="42" t="s">
        <v>815</v>
      </c>
      <c r="BA634" s="1" t="s">
        <v>172</v>
      </c>
      <c r="BC634" s="46">
        <f>AW634+AX634</f>
        <v>0</v>
      </c>
      <c r="BD634" s="46">
        <f>J634/(100-BE634)*100</f>
        <v>0</v>
      </c>
      <c r="BE634" s="46">
        <v>0</v>
      </c>
      <c r="BF634" s="46">
        <f>634</f>
        <v>634</v>
      </c>
      <c r="BH634" s="46">
        <f>I634*AO634</f>
        <v>0</v>
      </c>
      <c r="BI634" s="46">
        <f>I634*AP634</f>
        <v>0</v>
      </c>
      <c r="BJ634" s="46">
        <f>I634*J634</f>
        <v>0</v>
      </c>
      <c r="BK634" s="46"/>
      <c r="BL634" s="46">
        <v>11</v>
      </c>
    </row>
    <row r="635" spans="1:15" ht="15" customHeight="1">
      <c r="A635" s="10"/>
      <c r="D635" s="32" t="s">
        <v>1463</v>
      </c>
      <c r="G635" s="32" t="s">
        <v>1507</v>
      </c>
      <c r="I635" s="58">
        <v>9.4</v>
      </c>
      <c r="O635" s="30"/>
    </row>
    <row r="636" spans="1:64" ht="15" customHeight="1">
      <c r="A636" s="52" t="s">
        <v>555</v>
      </c>
      <c r="B636" s="43" t="s">
        <v>1668</v>
      </c>
      <c r="C636" s="43" t="s">
        <v>67</v>
      </c>
      <c r="D636" s="61" t="s">
        <v>777</v>
      </c>
      <c r="E636" s="61"/>
      <c r="F636" s="61"/>
      <c r="G636" s="61"/>
      <c r="H636" s="43" t="s">
        <v>749</v>
      </c>
      <c r="I636" s="46">
        <v>4.7</v>
      </c>
      <c r="J636" s="46">
        <v>0</v>
      </c>
      <c r="K636" s="46">
        <f>I636*AO636</f>
        <v>0</v>
      </c>
      <c r="L636" s="46">
        <f>I636*AP636</f>
        <v>0</v>
      </c>
      <c r="M636" s="46">
        <f>I636*J636</f>
        <v>0</v>
      </c>
      <c r="N636" s="46">
        <v>0</v>
      </c>
      <c r="O636" s="6" t="s">
        <v>1149</v>
      </c>
      <c r="Z636" s="46">
        <f>IF(AQ636="5",BJ636,0)</f>
        <v>0</v>
      </c>
      <c r="AB636" s="46">
        <f>IF(AQ636="1",BH636,0)</f>
        <v>0</v>
      </c>
      <c r="AC636" s="46">
        <f>IF(AQ636="1",BI636,0)</f>
        <v>0</v>
      </c>
      <c r="AD636" s="46">
        <f>IF(AQ636="7",BH636,0)</f>
        <v>0</v>
      </c>
      <c r="AE636" s="46">
        <f>IF(AQ636="7",BI636,0)</f>
        <v>0</v>
      </c>
      <c r="AF636" s="46">
        <f>IF(AQ636="2",BH636,0)</f>
        <v>0</v>
      </c>
      <c r="AG636" s="46">
        <f>IF(AQ636="2",BI636,0)</f>
        <v>0</v>
      </c>
      <c r="AH636" s="46">
        <f>IF(AQ636="0",BJ636,0)</f>
        <v>0</v>
      </c>
      <c r="AI636" s="1" t="s">
        <v>1668</v>
      </c>
      <c r="AJ636" s="46">
        <f>IF(AN636=0,M636,0)</f>
        <v>0</v>
      </c>
      <c r="AK636" s="46">
        <f>IF(AN636=15,M636,0)</f>
        <v>0</v>
      </c>
      <c r="AL636" s="46">
        <f>IF(AN636=21,M636,0)</f>
        <v>0</v>
      </c>
      <c r="AN636" s="46">
        <v>21</v>
      </c>
      <c r="AO636" s="46">
        <f>J636*0</f>
        <v>0</v>
      </c>
      <c r="AP636" s="46">
        <f>J636*(1-0)</f>
        <v>0</v>
      </c>
      <c r="AQ636" s="42" t="s">
        <v>880</v>
      </c>
      <c r="AV636" s="46">
        <f>AW636+AX636</f>
        <v>0</v>
      </c>
      <c r="AW636" s="46">
        <f>I636*AO636</f>
        <v>0</v>
      </c>
      <c r="AX636" s="46">
        <f>I636*AP636</f>
        <v>0</v>
      </c>
      <c r="AY636" s="42" t="s">
        <v>179</v>
      </c>
      <c r="AZ636" s="42" t="s">
        <v>815</v>
      </c>
      <c r="BA636" s="1" t="s">
        <v>172</v>
      </c>
      <c r="BC636" s="46">
        <f>AW636+AX636</f>
        <v>0</v>
      </c>
      <c r="BD636" s="46">
        <f>J636/(100-BE636)*100</f>
        <v>0</v>
      </c>
      <c r="BE636" s="46">
        <v>0</v>
      </c>
      <c r="BF636" s="46">
        <f>636</f>
        <v>636</v>
      </c>
      <c r="BH636" s="46">
        <f>I636*AO636</f>
        <v>0</v>
      </c>
      <c r="BI636" s="46">
        <f>I636*AP636</f>
        <v>0</v>
      </c>
      <c r="BJ636" s="46">
        <f>I636*J636</f>
        <v>0</v>
      </c>
      <c r="BK636" s="46"/>
      <c r="BL636" s="46">
        <v>11</v>
      </c>
    </row>
    <row r="637" spans="1:15" ht="15" customHeight="1">
      <c r="A637" s="10"/>
      <c r="D637" s="32" t="s">
        <v>1425</v>
      </c>
      <c r="G637" s="32" t="s">
        <v>375</v>
      </c>
      <c r="I637" s="58">
        <v>4.7</v>
      </c>
      <c r="O637" s="30"/>
    </row>
    <row r="638" spans="1:47" ht="15" customHeight="1">
      <c r="A638" s="3" t="s">
        <v>1163</v>
      </c>
      <c r="B638" s="9" t="s">
        <v>1668</v>
      </c>
      <c r="C638" s="9" t="s">
        <v>1233</v>
      </c>
      <c r="D638" s="64" t="s">
        <v>394</v>
      </c>
      <c r="E638" s="64"/>
      <c r="F638" s="64"/>
      <c r="G638" s="64"/>
      <c r="H638" s="41" t="s">
        <v>1537</v>
      </c>
      <c r="I638" s="41" t="s">
        <v>1537</v>
      </c>
      <c r="J638" s="41" t="s">
        <v>1537</v>
      </c>
      <c r="K638" s="50">
        <f>SUM(K639:K639)</f>
        <v>0</v>
      </c>
      <c r="L638" s="50">
        <f>SUM(L639:L639)</f>
        <v>0</v>
      </c>
      <c r="M638" s="50">
        <f>SUM(M639:M639)</f>
        <v>0</v>
      </c>
      <c r="N638" s="1" t="s">
        <v>1163</v>
      </c>
      <c r="O638" s="45" t="s">
        <v>1163</v>
      </c>
      <c r="AI638" s="1" t="s">
        <v>1668</v>
      </c>
      <c r="AS638" s="50">
        <f>SUM(AJ639:AJ639)</f>
        <v>0</v>
      </c>
      <c r="AT638" s="50">
        <f>SUM(AK639:AK639)</f>
        <v>0</v>
      </c>
      <c r="AU638" s="50">
        <f>SUM(AL639:AL639)</f>
        <v>0</v>
      </c>
    </row>
    <row r="639" spans="1:64" ht="15" customHeight="1">
      <c r="A639" s="52" t="s">
        <v>1325</v>
      </c>
      <c r="B639" s="43" t="s">
        <v>1668</v>
      </c>
      <c r="C639" s="43" t="s">
        <v>676</v>
      </c>
      <c r="D639" s="61" t="s">
        <v>1624</v>
      </c>
      <c r="E639" s="61"/>
      <c r="F639" s="61"/>
      <c r="G639" s="61"/>
      <c r="H639" s="43" t="s">
        <v>1604</v>
      </c>
      <c r="I639" s="46">
        <v>9</v>
      </c>
      <c r="J639" s="46">
        <v>0</v>
      </c>
      <c r="K639" s="46">
        <f>I639*AO639</f>
        <v>0</v>
      </c>
      <c r="L639" s="46">
        <f>I639*AP639</f>
        <v>0</v>
      </c>
      <c r="M639" s="46">
        <f>I639*J639</f>
        <v>0</v>
      </c>
      <c r="N639" s="46">
        <v>0</v>
      </c>
      <c r="O639" s="6" t="s">
        <v>1149</v>
      </c>
      <c r="Z639" s="46">
        <f>IF(AQ639="5",BJ639,0)</f>
        <v>0</v>
      </c>
      <c r="AB639" s="46">
        <f>IF(AQ639="1",BH639,0)</f>
        <v>0</v>
      </c>
      <c r="AC639" s="46">
        <f>IF(AQ639="1",BI639,0)</f>
        <v>0</v>
      </c>
      <c r="AD639" s="46">
        <f>IF(AQ639="7",BH639,0)</f>
        <v>0</v>
      </c>
      <c r="AE639" s="46">
        <f>IF(AQ639="7",BI639,0)</f>
        <v>0</v>
      </c>
      <c r="AF639" s="46">
        <f>IF(AQ639="2",BH639,0)</f>
        <v>0</v>
      </c>
      <c r="AG639" s="46">
        <f>IF(AQ639="2",BI639,0)</f>
        <v>0</v>
      </c>
      <c r="AH639" s="46">
        <f>IF(AQ639="0",BJ639,0)</f>
        <v>0</v>
      </c>
      <c r="AI639" s="1" t="s">
        <v>1668</v>
      </c>
      <c r="AJ639" s="46">
        <f>IF(AN639=0,M639,0)</f>
        <v>0</v>
      </c>
      <c r="AK639" s="46">
        <f>IF(AN639=15,M639,0)</f>
        <v>0</v>
      </c>
      <c r="AL639" s="46">
        <f>IF(AN639=21,M639,0)</f>
        <v>0</v>
      </c>
      <c r="AN639" s="46">
        <v>21</v>
      </c>
      <c r="AO639" s="46">
        <f>J639*0</f>
        <v>0</v>
      </c>
      <c r="AP639" s="46">
        <f>J639*(1-0)</f>
        <v>0</v>
      </c>
      <c r="AQ639" s="42" t="s">
        <v>1648</v>
      </c>
      <c r="AV639" s="46">
        <f>AW639+AX639</f>
        <v>0</v>
      </c>
      <c r="AW639" s="46">
        <f>I639*AO639</f>
        <v>0</v>
      </c>
      <c r="AX639" s="46">
        <f>I639*AP639</f>
        <v>0</v>
      </c>
      <c r="AY639" s="42" t="s">
        <v>838</v>
      </c>
      <c r="AZ639" s="42" t="s">
        <v>815</v>
      </c>
      <c r="BA639" s="1" t="s">
        <v>172</v>
      </c>
      <c r="BC639" s="46">
        <f>AW639+AX639</f>
        <v>0</v>
      </c>
      <c r="BD639" s="46">
        <f>J639/(100-BE639)*100</f>
        <v>0</v>
      </c>
      <c r="BE639" s="46">
        <v>0</v>
      </c>
      <c r="BF639" s="46">
        <f>639</f>
        <v>639</v>
      </c>
      <c r="BH639" s="46">
        <f>I639*AO639</f>
        <v>0</v>
      </c>
      <c r="BI639" s="46">
        <f>I639*AP639</f>
        <v>0</v>
      </c>
      <c r="BJ639" s="46">
        <f>I639*J639</f>
        <v>0</v>
      </c>
      <c r="BK639" s="46"/>
      <c r="BL639" s="46">
        <v>12</v>
      </c>
    </row>
    <row r="640" spans="1:15" ht="15" customHeight="1">
      <c r="A640" s="10"/>
      <c r="D640" s="32" t="s">
        <v>1005</v>
      </c>
      <c r="G640" s="32" t="s">
        <v>1163</v>
      </c>
      <c r="I640" s="58">
        <v>9</v>
      </c>
      <c r="O640" s="30"/>
    </row>
    <row r="641" spans="1:47" ht="15" customHeight="1">
      <c r="A641" s="3" t="s">
        <v>1163</v>
      </c>
      <c r="B641" s="9" t="s">
        <v>1668</v>
      </c>
      <c r="C641" s="9" t="s">
        <v>472</v>
      </c>
      <c r="D641" s="64" t="s">
        <v>16</v>
      </c>
      <c r="E641" s="64"/>
      <c r="F641" s="64"/>
      <c r="G641" s="64"/>
      <c r="H641" s="41" t="s">
        <v>1537</v>
      </c>
      <c r="I641" s="41" t="s">
        <v>1537</v>
      </c>
      <c r="J641" s="41" t="s">
        <v>1537</v>
      </c>
      <c r="K641" s="50">
        <f>SUM(K642:K644)</f>
        <v>0</v>
      </c>
      <c r="L641" s="50">
        <f>SUM(L642:L644)</f>
        <v>0</v>
      </c>
      <c r="M641" s="50">
        <f>SUM(M642:M644)</f>
        <v>0</v>
      </c>
      <c r="N641" s="1" t="s">
        <v>1163</v>
      </c>
      <c r="O641" s="45" t="s">
        <v>1163</v>
      </c>
      <c r="AI641" s="1" t="s">
        <v>1668</v>
      </c>
      <c r="AS641" s="50">
        <f>SUM(AJ642:AJ644)</f>
        <v>0</v>
      </c>
      <c r="AT641" s="50">
        <f>SUM(AK642:AK644)</f>
        <v>0</v>
      </c>
      <c r="AU641" s="50">
        <f>SUM(AL642:AL644)</f>
        <v>0</v>
      </c>
    </row>
    <row r="642" spans="1:64" ht="15" customHeight="1">
      <c r="A642" s="52" t="s">
        <v>1099</v>
      </c>
      <c r="B642" s="43" t="s">
        <v>1668</v>
      </c>
      <c r="C642" s="43" t="s">
        <v>1476</v>
      </c>
      <c r="D642" s="61" t="s">
        <v>226</v>
      </c>
      <c r="E642" s="61"/>
      <c r="F642" s="61"/>
      <c r="G642" s="61"/>
      <c r="H642" s="43" t="s">
        <v>1604</v>
      </c>
      <c r="I642" s="46">
        <v>572.04</v>
      </c>
      <c r="J642" s="46">
        <v>0</v>
      </c>
      <c r="K642" s="46">
        <f>I642*AO642</f>
        <v>0</v>
      </c>
      <c r="L642" s="46">
        <f>I642*AP642</f>
        <v>0</v>
      </c>
      <c r="M642" s="46">
        <f>I642*J642</f>
        <v>0</v>
      </c>
      <c r="N642" s="46">
        <v>0</v>
      </c>
      <c r="O642" s="6" t="s">
        <v>1149</v>
      </c>
      <c r="Z642" s="46">
        <f>IF(AQ642="5",BJ642,0)</f>
        <v>0</v>
      </c>
      <c r="AB642" s="46">
        <f>IF(AQ642="1",BH642,0)</f>
        <v>0</v>
      </c>
      <c r="AC642" s="46">
        <f>IF(AQ642="1",BI642,0)</f>
        <v>0</v>
      </c>
      <c r="AD642" s="46">
        <f>IF(AQ642="7",BH642,0)</f>
        <v>0</v>
      </c>
      <c r="AE642" s="46">
        <f>IF(AQ642="7",BI642,0)</f>
        <v>0</v>
      </c>
      <c r="AF642" s="46">
        <f>IF(AQ642="2",BH642,0)</f>
        <v>0</v>
      </c>
      <c r="AG642" s="46">
        <f>IF(AQ642="2",BI642,0)</f>
        <v>0</v>
      </c>
      <c r="AH642" s="46">
        <f>IF(AQ642="0",BJ642,0)</f>
        <v>0</v>
      </c>
      <c r="AI642" s="1" t="s">
        <v>1668</v>
      </c>
      <c r="AJ642" s="46">
        <f>IF(AN642=0,M642,0)</f>
        <v>0</v>
      </c>
      <c r="AK642" s="46">
        <f>IF(AN642=15,M642,0)</f>
        <v>0</v>
      </c>
      <c r="AL642" s="46">
        <f>IF(AN642=21,M642,0)</f>
        <v>0</v>
      </c>
      <c r="AN642" s="46">
        <v>21</v>
      </c>
      <c r="AO642" s="46">
        <f>J642*0</f>
        <v>0</v>
      </c>
      <c r="AP642" s="46">
        <f>J642*(1-0)</f>
        <v>0</v>
      </c>
      <c r="AQ642" s="42" t="s">
        <v>1648</v>
      </c>
      <c r="AV642" s="46">
        <f>AW642+AX642</f>
        <v>0</v>
      </c>
      <c r="AW642" s="46">
        <f>I642*AO642</f>
        <v>0</v>
      </c>
      <c r="AX642" s="46">
        <f>I642*AP642</f>
        <v>0</v>
      </c>
      <c r="AY642" s="42" t="s">
        <v>1498</v>
      </c>
      <c r="AZ642" s="42" t="s">
        <v>815</v>
      </c>
      <c r="BA642" s="1" t="s">
        <v>172</v>
      </c>
      <c r="BC642" s="46">
        <f>AW642+AX642</f>
        <v>0</v>
      </c>
      <c r="BD642" s="46">
        <f>J642/(100-BE642)*100</f>
        <v>0</v>
      </c>
      <c r="BE642" s="46">
        <v>0</v>
      </c>
      <c r="BF642" s="46">
        <f>642</f>
        <v>642</v>
      </c>
      <c r="BH642" s="46">
        <f>I642*AO642</f>
        <v>0</v>
      </c>
      <c r="BI642" s="46">
        <f>I642*AP642</f>
        <v>0</v>
      </c>
      <c r="BJ642" s="46">
        <f>I642*J642</f>
        <v>0</v>
      </c>
      <c r="BK642" s="46"/>
      <c r="BL642" s="46">
        <v>13</v>
      </c>
    </row>
    <row r="643" spans="1:15" ht="15" customHeight="1">
      <c r="A643" s="10"/>
      <c r="D643" s="32" t="s">
        <v>1193</v>
      </c>
      <c r="G643" s="32" t="s">
        <v>1706</v>
      </c>
      <c r="I643" s="58">
        <v>572.0400000000001</v>
      </c>
      <c r="O643" s="30"/>
    </row>
    <row r="644" spans="1:64" ht="15" customHeight="1">
      <c r="A644" s="52" t="s">
        <v>1515</v>
      </c>
      <c r="B644" s="43" t="s">
        <v>1668</v>
      </c>
      <c r="C644" s="43" t="s">
        <v>585</v>
      </c>
      <c r="D644" s="61" t="s">
        <v>1696</v>
      </c>
      <c r="E644" s="61"/>
      <c r="F644" s="61"/>
      <c r="G644" s="61"/>
      <c r="H644" s="43" t="s">
        <v>1604</v>
      </c>
      <c r="I644" s="46">
        <v>122.175</v>
      </c>
      <c r="J644" s="46">
        <v>0</v>
      </c>
      <c r="K644" s="46">
        <f>I644*AO644</f>
        <v>0</v>
      </c>
      <c r="L644" s="46">
        <f>I644*AP644</f>
        <v>0</v>
      </c>
      <c r="M644" s="46">
        <f>I644*J644</f>
        <v>0</v>
      </c>
      <c r="N644" s="46">
        <v>0</v>
      </c>
      <c r="O644" s="6" t="s">
        <v>1149</v>
      </c>
      <c r="Z644" s="46">
        <f>IF(AQ644="5",BJ644,0)</f>
        <v>0</v>
      </c>
      <c r="AB644" s="46">
        <f>IF(AQ644="1",BH644,0)</f>
        <v>0</v>
      </c>
      <c r="AC644" s="46">
        <f>IF(AQ644="1",BI644,0)</f>
        <v>0</v>
      </c>
      <c r="AD644" s="46">
        <f>IF(AQ644="7",BH644,0)</f>
        <v>0</v>
      </c>
      <c r="AE644" s="46">
        <f>IF(AQ644="7",BI644,0)</f>
        <v>0</v>
      </c>
      <c r="AF644" s="46">
        <f>IF(AQ644="2",BH644,0)</f>
        <v>0</v>
      </c>
      <c r="AG644" s="46">
        <f>IF(AQ644="2",BI644,0)</f>
        <v>0</v>
      </c>
      <c r="AH644" s="46">
        <f>IF(AQ644="0",BJ644,0)</f>
        <v>0</v>
      </c>
      <c r="AI644" s="1" t="s">
        <v>1668</v>
      </c>
      <c r="AJ644" s="46">
        <f>IF(AN644=0,M644,0)</f>
        <v>0</v>
      </c>
      <c r="AK644" s="46">
        <f>IF(AN644=15,M644,0)</f>
        <v>0</v>
      </c>
      <c r="AL644" s="46">
        <f>IF(AN644=21,M644,0)</f>
        <v>0</v>
      </c>
      <c r="AN644" s="46">
        <v>21</v>
      </c>
      <c r="AO644" s="46">
        <f>J644*0</f>
        <v>0</v>
      </c>
      <c r="AP644" s="46">
        <f>J644*(1-0)</f>
        <v>0</v>
      </c>
      <c r="AQ644" s="42" t="s">
        <v>1648</v>
      </c>
      <c r="AV644" s="46">
        <f>AW644+AX644</f>
        <v>0</v>
      </c>
      <c r="AW644" s="46">
        <f>I644*AO644</f>
        <v>0</v>
      </c>
      <c r="AX644" s="46">
        <f>I644*AP644</f>
        <v>0</v>
      </c>
      <c r="AY644" s="42" t="s">
        <v>1498</v>
      </c>
      <c r="AZ644" s="42" t="s">
        <v>815</v>
      </c>
      <c r="BA644" s="1" t="s">
        <v>172</v>
      </c>
      <c r="BC644" s="46">
        <f>AW644+AX644</f>
        <v>0</v>
      </c>
      <c r="BD644" s="46">
        <f>J644/(100-BE644)*100</f>
        <v>0</v>
      </c>
      <c r="BE644" s="46">
        <v>0</v>
      </c>
      <c r="BF644" s="46">
        <f>644</f>
        <v>644</v>
      </c>
      <c r="BH644" s="46">
        <f>I644*AO644</f>
        <v>0</v>
      </c>
      <c r="BI644" s="46">
        <f>I644*AP644</f>
        <v>0</v>
      </c>
      <c r="BJ644" s="46">
        <f>I644*J644</f>
        <v>0</v>
      </c>
      <c r="BK644" s="46"/>
      <c r="BL644" s="46">
        <v>13</v>
      </c>
    </row>
    <row r="645" spans="1:15" ht="15" customHeight="1">
      <c r="A645" s="10"/>
      <c r="D645" s="32" t="s">
        <v>1438</v>
      </c>
      <c r="G645" s="32" t="s">
        <v>1847</v>
      </c>
      <c r="I645" s="58">
        <v>17.55</v>
      </c>
      <c r="O645" s="30"/>
    </row>
    <row r="646" spans="1:15" ht="15" customHeight="1">
      <c r="A646" s="10"/>
      <c r="D646" s="32" t="s">
        <v>948</v>
      </c>
      <c r="G646" s="32" t="s">
        <v>492</v>
      </c>
      <c r="I646" s="58">
        <v>20.25</v>
      </c>
      <c r="O646" s="30"/>
    </row>
    <row r="647" spans="1:15" ht="15" customHeight="1">
      <c r="A647" s="10"/>
      <c r="D647" s="32" t="s">
        <v>1656</v>
      </c>
      <c r="G647" s="32" t="s">
        <v>499</v>
      </c>
      <c r="I647" s="58">
        <v>84.375</v>
      </c>
      <c r="O647" s="30"/>
    </row>
    <row r="648" spans="1:47" ht="15" customHeight="1">
      <c r="A648" s="3" t="s">
        <v>1163</v>
      </c>
      <c r="B648" s="9" t="s">
        <v>1668</v>
      </c>
      <c r="C648" s="9" t="s">
        <v>988</v>
      </c>
      <c r="D648" s="64" t="s">
        <v>958</v>
      </c>
      <c r="E648" s="64"/>
      <c r="F648" s="64"/>
      <c r="G648" s="64"/>
      <c r="H648" s="41" t="s">
        <v>1537</v>
      </c>
      <c r="I648" s="41" t="s">
        <v>1537</v>
      </c>
      <c r="J648" s="41" t="s">
        <v>1537</v>
      </c>
      <c r="K648" s="50">
        <f>SUM(K649:K650)</f>
        <v>0</v>
      </c>
      <c r="L648" s="50">
        <f>SUM(L649:L650)</f>
        <v>0</v>
      </c>
      <c r="M648" s="50">
        <f>SUM(M649:M650)</f>
        <v>0</v>
      </c>
      <c r="N648" s="1" t="s">
        <v>1163</v>
      </c>
      <c r="O648" s="45" t="s">
        <v>1163</v>
      </c>
      <c r="AI648" s="1" t="s">
        <v>1668</v>
      </c>
      <c r="AS648" s="50">
        <f>SUM(AJ649:AJ650)</f>
        <v>0</v>
      </c>
      <c r="AT648" s="50">
        <f>SUM(AK649:AK650)</f>
        <v>0</v>
      </c>
      <c r="AU648" s="50">
        <f>SUM(AL649:AL650)</f>
        <v>0</v>
      </c>
    </row>
    <row r="649" spans="1:64" ht="15" customHeight="1">
      <c r="A649" s="52" t="s">
        <v>1419</v>
      </c>
      <c r="B649" s="43" t="s">
        <v>1668</v>
      </c>
      <c r="C649" s="43" t="s">
        <v>1863</v>
      </c>
      <c r="D649" s="61" t="s">
        <v>435</v>
      </c>
      <c r="E649" s="61"/>
      <c r="F649" s="61"/>
      <c r="G649" s="61"/>
      <c r="H649" s="43" t="s">
        <v>1365</v>
      </c>
      <c r="I649" s="46">
        <v>4</v>
      </c>
      <c r="J649" s="46">
        <v>0</v>
      </c>
      <c r="K649" s="46">
        <f>I649*AO649</f>
        <v>0</v>
      </c>
      <c r="L649" s="46">
        <f>I649*AP649</f>
        <v>0</v>
      </c>
      <c r="M649" s="46">
        <f>I649*J649</f>
        <v>0</v>
      </c>
      <c r="N649" s="46">
        <v>0.00021</v>
      </c>
      <c r="O649" s="6" t="s">
        <v>1149</v>
      </c>
      <c r="Z649" s="46">
        <f>IF(AQ649="5",BJ649,0)</f>
        <v>0</v>
      </c>
      <c r="AB649" s="46">
        <f>IF(AQ649="1",BH649,0)</f>
        <v>0</v>
      </c>
      <c r="AC649" s="46">
        <f>IF(AQ649="1",BI649,0)</f>
        <v>0</v>
      </c>
      <c r="AD649" s="46">
        <f>IF(AQ649="7",BH649,0)</f>
        <v>0</v>
      </c>
      <c r="AE649" s="46">
        <f>IF(AQ649="7",BI649,0)</f>
        <v>0</v>
      </c>
      <c r="AF649" s="46">
        <f>IF(AQ649="2",BH649,0)</f>
        <v>0</v>
      </c>
      <c r="AG649" s="46">
        <f>IF(AQ649="2",BI649,0)</f>
        <v>0</v>
      </c>
      <c r="AH649" s="46">
        <f>IF(AQ649="0",BJ649,0)</f>
        <v>0</v>
      </c>
      <c r="AI649" s="1" t="s">
        <v>1668</v>
      </c>
      <c r="AJ649" s="46">
        <f>IF(AN649=0,M649,0)</f>
        <v>0</v>
      </c>
      <c r="AK649" s="46">
        <f>IF(AN649=15,M649,0)</f>
        <v>0</v>
      </c>
      <c r="AL649" s="46">
        <f>IF(AN649=21,M649,0)</f>
        <v>0</v>
      </c>
      <c r="AN649" s="46">
        <v>21</v>
      </c>
      <c r="AO649" s="46">
        <f>J649*0.0164100406775069</f>
        <v>0</v>
      </c>
      <c r="AP649" s="46">
        <f>J649*(1-0.0164100406775069)</f>
        <v>0</v>
      </c>
      <c r="AQ649" s="42" t="s">
        <v>1648</v>
      </c>
      <c r="AV649" s="46">
        <f>AW649+AX649</f>
        <v>0</v>
      </c>
      <c r="AW649" s="46">
        <f>I649*AO649</f>
        <v>0</v>
      </c>
      <c r="AX649" s="46">
        <f>I649*AP649</f>
        <v>0</v>
      </c>
      <c r="AY649" s="42" t="s">
        <v>1740</v>
      </c>
      <c r="AZ649" s="42" t="s">
        <v>815</v>
      </c>
      <c r="BA649" s="1" t="s">
        <v>172</v>
      </c>
      <c r="BC649" s="46">
        <f>AW649+AX649</f>
        <v>0</v>
      </c>
      <c r="BD649" s="46">
        <f>J649/(100-BE649)*100</f>
        <v>0</v>
      </c>
      <c r="BE649" s="46">
        <v>0</v>
      </c>
      <c r="BF649" s="46">
        <f>649</f>
        <v>649</v>
      </c>
      <c r="BH649" s="46">
        <f>I649*AO649</f>
        <v>0</v>
      </c>
      <c r="BI649" s="46">
        <f>I649*AP649</f>
        <v>0</v>
      </c>
      <c r="BJ649" s="46">
        <f>I649*J649</f>
        <v>0</v>
      </c>
      <c r="BK649" s="46"/>
      <c r="BL649" s="46">
        <v>14</v>
      </c>
    </row>
    <row r="650" spans="1:64" ht="15" customHeight="1">
      <c r="A650" s="52" t="s">
        <v>438</v>
      </c>
      <c r="B650" s="43" t="s">
        <v>1668</v>
      </c>
      <c r="C650" s="43" t="s">
        <v>50</v>
      </c>
      <c r="D650" s="61" t="s">
        <v>1875</v>
      </c>
      <c r="E650" s="61"/>
      <c r="F650" s="61"/>
      <c r="G650" s="61"/>
      <c r="H650" s="43" t="s">
        <v>1365</v>
      </c>
      <c r="I650" s="46">
        <v>4</v>
      </c>
      <c r="J650" s="46">
        <v>0</v>
      </c>
      <c r="K650" s="46">
        <f>I650*AO650</f>
        <v>0</v>
      </c>
      <c r="L650" s="46">
        <f>I650*AP650</f>
        <v>0</v>
      </c>
      <c r="M650" s="46">
        <f>I650*J650</f>
        <v>0</v>
      </c>
      <c r="N650" s="46">
        <v>0.0416</v>
      </c>
      <c r="O650" s="6" t="s">
        <v>1149</v>
      </c>
      <c r="Z650" s="46">
        <f>IF(AQ650="5",BJ650,0)</f>
        <v>0</v>
      </c>
      <c r="AB650" s="46">
        <f>IF(AQ650="1",BH650,0)</f>
        <v>0</v>
      </c>
      <c r="AC650" s="46">
        <f>IF(AQ650="1",BI650,0)</f>
        <v>0</v>
      </c>
      <c r="AD650" s="46">
        <f>IF(AQ650="7",BH650,0)</f>
        <v>0</v>
      </c>
      <c r="AE650" s="46">
        <f>IF(AQ650="7",BI650,0)</f>
        <v>0</v>
      </c>
      <c r="AF650" s="46">
        <f>IF(AQ650="2",BH650,0)</f>
        <v>0</v>
      </c>
      <c r="AG650" s="46">
        <f>IF(AQ650="2",BI650,0)</f>
        <v>0</v>
      </c>
      <c r="AH650" s="46">
        <f>IF(AQ650="0",BJ650,0)</f>
        <v>0</v>
      </c>
      <c r="AI650" s="1" t="s">
        <v>1668</v>
      </c>
      <c r="AJ650" s="46">
        <f>IF(AN650=0,M650,0)</f>
        <v>0</v>
      </c>
      <c r="AK650" s="46">
        <f>IF(AN650=15,M650,0)</f>
        <v>0</v>
      </c>
      <c r="AL650" s="46">
        <f>IF(AN650=21,M650,0)</f>
        <v>0</v>
      </c>
      <c r="AN650" s="46">
        <v>21</v>
      </c>
      <c r="AO650" s="46">
        <f>J650*1</f>
        <v>0</v>
      </c>
      <c r="AP650" s="46">
        <f>J650*(1-1)</f>
        <v>0</v>
      </c>
      <c r="AQ650" s="42" t="s">
        <v>1648</v>
      </c>
      <c r="AV650" s="46">
        <f>AW650+AX650</f>
        <v>0</v>
      </c>
      <c r="AW650" s="46">
        <f>I650*AO650</f>
        <v>0</v>
      </c>
      <c r="AX650" s="46">
        <f>I650*AP650</f>
        <v>0</v>
      </c>
      <c r="AY650" s="42" t="s">
        <v>1740</v>
      </c>
      <c r="AZ650" s="42" t="s">
        <v>815</v>
      </c>
      <c r="BA650" s="1" t="s">
        <v>172</v>
      </c>
      <c r="BC650" s="46">
        <f>AW650+AX650</f>
        <v>0</v>
      </c>
      <c r="BD650" s="46">
        <f>J650/(100-BE650)*100</f>
        <v>0</v>
      </c>
      <c r="BE650" s="46">
        <v>0</v>
      </c>
      <c r="BF650" s="46">
        <f>650</f>
        <v>650</v>
      </c>
      <c r="BH650" s="46">
        <f>I650*AO650</f>
        <v>0</v>
      </c>
      <c r="BI650" s="46">
        <f>I650*AP650</f>
        <v>0</v>
      </c>
      <c r="BJ650" s="46">
        <f>I650*J650</f>
        <v>0</v>
      </c>
      <c r="BK650" s="46"/>
      <c r="BL650" s="46">
        <v>14</v>
      </c>
    </row>
    <row r="651" spans="1:15" ht="15" customHeight="1">
      <c r="A651" s="10"/>
      <c r="D651" s="32" t="s">
        <v>191</v>
      </c>
      <c r="G651" s="32" t="s">
        <v>349</v>
      </c>
      <c r="I651" s="58">
        <v>4</v>
      </c>
      <c r="O651" s="30"/>
    </row>
    <row r="652" spans="1:47" ht="15" customHeight="1">
      <c r="A652" s="3" t="s">
        <v>1163</v>
      </c>
      <c r="B652" s="9" t="s">
        <v>1668</v>
      </c>
      <c r="C652" s="9" t="s">
        <v>639</v>
      </c>
      <c r="D652" s="64" t="s">
        <v>1434</v>
      </c>
      <c r="E652" s="64"/>
      <c r="F652" s="64"/>
      <c r="G652" s="64"/>
      <c r="H652" s="41" t="s">
        <v>1537</v>
      </c>
      <c r="I652" s="41" t="s">
        <v>1537</v>
      </c>
      <c r="J652" s="41" t="s">
        <v>1537</v>
      </c>
      <c r="K652" s="50">
        <f>SUM(K653:K656)</f>
        <v>0</v>
      </c>
      <c r="L652" s="50">
        <f>SUM(L653:L656)</f>
        <v>0</v>
      </c>
      <c r="M652" s="50">
        <f>SUM(M653:M656)</f>
        <v>0</v>
      </c>
      <c r="N652" s="1" t="s">
        <v>1163</v>
      </c>
      <c r="O652" s="45" t="s">
        <v>1163</v>
      </c>
      <c r="AI652" s="1" t="s">
        <v>1668</v>
      </c>
      <c r="AS652" s="50">
        <f>SUM(AJ653:AJ656)</f>
        <v>0</v>
      </c>
      <c r="AT652" s="50">
        <f>SUM(AK653:AK656)</f>
        <v>0</v>
      </c>
      <c r="AU652" s="50">
        <f>SUM(AL653:AL656)</f>
        <v>0</v>
      </c>
    </row>
    <row r="653" spans="1:64" ht="15" customHeight="1">
      <c r="A653" s="52" t="s">
        <v>746</v>
      </c>
      <c r="B653" s="43" t="s">
        <v>1668</v>
      </c>
      <c r="C653" s="43" t="s">
        <v>1826</v>
      </c>
      <c r="D653" s="61" t="s">
        <v>353</v>
      </c>
      <c r="E653" s="61"/>
      <c r="F653" s="61"/>
      <c r="G653" s="61"/>
      <c r="H653" s="43" t="s">
        <v>1629</v>
      </c>
      <c r="I653" s="46">
        <v>1271.2</v>
      </c>
      <c r="J653" s="46">
        <v>0</v>
      </c>
      <c r="K653" s="46">
        <f>I653*AO653</f>
        <v>0</v>
      </c>
      <c r="L653" s="46">
        <f>I653*AP653</f>
        <v>0</v>
      </c>
      <c r="M653" s="46">
        <f>I653*J653</f>
        <v>0</v>
      </c>
      <c r="N653" s="46">
        <v>0.00099</v>
      </c>
      <c r="O653" s="6" t="s">
        <v>1149</v>
      </c>
      <c r="Z653" s="46">
        <f>IF(AQ653="5",BJ653,0)</f>
        <v>0</v>
      </c>
      <c r="AB653" s="46">
        <f>IF(AQ653="1",BH653,0)</f>
        <v>0</v>
      </c>
      <c r="AC653" s="46">
        <f>IF(AQ653="1",BI653,0)</f>
        <v>0</v>
      </c>
      <c r="AD653" s="46">
        <f>IF(AQ653="7",BH653,0)</f>
        <v>0</v>
      </c>
      <c r="AE653" s="46">
        <f>IF(AQ653="7",BI653,0)</f>
        <v>0</v>
      </c>
      <c r="AF653" s="46">
        <f>IF(AQ653="2",BH653,0)</f>
        <v>0</v>
      </c>
      <c r="AG653" s="46">
        <f>IF(AQ653="2",BI653,0)</f>
        <v>0</v>
      </c>
      <c r="AH653" s="46">
        <f>IF(AQ653="0",BJ653,0)</f>
        <v>0</v>
      </c>
      <c r="AI653" s="1" t="s">
        <v>1668</v>
      </c>
      <c r="AJ653" s="46">
        <f>IF(AN653=0,M653,0)</f>
        <v>0</v>
      </c>
      <c r="AK653" s="46">
        <f>IF(AN653=15,M653,0)</f>
        <v>0</v>
      </c>
      <c r="AL653" s="46">
        <f>IF(AN653=21,M653,0)</f>
        <v>0</v>
      </c>
      <c r="AN653" s="46">
        <v>21</v>
      </c>
      <c r="AO653" s="46">
        <f>J653*0.0932214765100671</f>
        <v>0</v>
      </c>
      <c r="AP653" s="46">
        <f>J653*(1-0.0932214765100671)</f>
        <v>0</v>
      </c>
      <c r="AQ653" s="42" t="s">
        <v>1648</v>
      </c>
      <c r="AV653" s="46">
        <f>AW653+AX653</f>
        <v>0</v>
      </c>
      <c r="AW653" s="46">
        <f>I653*AO653</f>
        <v>0</v>
      </c>
      <c r="AX653" s="46">
        <f>I653*AP653</f>
        <v>0</v>
      </c>
      <c r="AY653" s="42" t="s">
        <v>1180</v>
      </c>
      <c r="AZ653" s="42" t="s">
        <v>815</v>
      </c>
      <c r="BA653" s="1" t="s">
        <v>172</v>
      </c>
      <c r="BC653" s="46">
        <f>AW653+AX653</f>
        <v>0</v>
      </c>
      <c r="BD653" s="46">
        <f>J653/(100-BE653)*100</f>
        <v>0</v>
      </c>
      <c r="BE653" s="46">
        <v>0</v>
      </c>
      <c r="BF653" s="46">
        <f>653</f>
        <v>653</v>
      </c>
      <c r="BH653" s="46">
        <f>I653*AO653</f>
        <v>0</v>
      </c>
      <c r="BI653" s="46">
        <f>I653*AP653</f>
        <v>0</v>
      </c>
      <c r="BJ653" s="46">
        <f>I653*J653</f>
        <v>0</v>
      </c>
      <c r="BK653" s="46"/>
      <c r="BL653" s="46">
        <v>15</v>
      </c>
    </row>
    <row r="654" spans="1:15" ht="15" customHeight="1">
      <c r="A654" s="10"/>
      <c r="D654" s="32" t="s">
        <v>1824</v>
      </c>
      <c r="G654" s="32" t="s">
        <v>173</v>
      </c>
      <c r="I654" s="58">
        <v>1222</v>
      </c>
      <c r="O654" s="30"/>
    </row>
    <row r="655" spans="1:15" ht="15" customHeight="1">
      <c r="A655" s="10"/>
      <c r="D655" s="32" t="s">
        <v>1279</v>
      </c>
      <c r="G655" s="32" t="s">
        <v>38</v>
      </c>
      <c r="I655" s="58">
        <v>49.2</v>
      </c>
      <c r="O655" s="30"/>
    </row>
    <row r="656" spans="1:64" ht="15" customHeight="1">
      <c r="A656" s="52" t="s">
        <v>33</v>
      </c>
      <c r="B656" s="43" t="s">
        <v>1668</v>
      </c>
      <c r="C656" s="43" t="s">
        <v>1137</v>
      </c>
      <c r="D656" s="61" t="s">
        <v>1606</v>
      </c>
      <c r="E656" s="61"/>
      <c r="F656" s="61"/>
      <c r="G656" s="61"/>
      <c r="H656" s="43" t="s">
        <v>1629</v>
      </c>
      <c r="I656" s="46">
        <v>1271.2</v>
      </c>
      <c r="J656" s="46">
        <v>0</v>
      </c>
      <c r="K656" s="46">
        <f>I656*AO656</f>
        <v>0</v>
      </c>
      <c r="L656" s="46">
        <f>I656*AP656</f>
        <v>0</v>
      </c>
      <c r="M656" s="46">
        <f>I656*J656</f>
        <v>0</v>
      </c>
      <c r="N656" s="46">
        <v>0</v>
      </c>
      <c r="O656" s="6" t="s">
        <v>1149</v>
      </c>
      <c r="Z656" s="46">
        <f>IF(AQ656="5",BJ656,0)</f>
        <v>0</v>
      </c>
      <c r="AB656" s="46">
        <f>IF(AQ656="1",BH656,0)</f>
        <v>0</v>
      </c>
      <c r="AC656" s="46">
        <f>IF(AQ656="1",BI656,0)</f>
        <v>0</v>
      </c>
      <c r="AD656" s="46">
        <f>IF(AQ656="7",BH656,0)</f>
        <v>0</v>
      </c>
      <c r="AE656" s="46">
        <f>IF(AQ656="7",BI656,0)</f>
        <v>0</v>
      </c>
      <c r="AF656" s="46">
        <f>IF(AQ656="2",BH656,0)</f>
        <v>0</v>
      </c>
      <c r="AG656" s="46">
        <f>IF(AQ656="2",BI656,0)</f>
        <v>0</v>
      </c>
      <c r="AH656" s="46">
        <f>IF(AQ656="0",BJ656,0)</f>
        <v>0</v>
      </c>
      <c r="AI656" s="1" t="s">
        <v>1668</v>
      </c>
      <c r="AJ656" s="46">
        <f>IF(AN656=0,M656,0)</f>
        <v>0</v>
      </c>
      <c r="AK656" s="46">
        <f>IF(AN656=15,M656,0)</f>
        <v>0</v>
      </c>
      <c r="AL656" s="46">
        <f>IF(AN656=21,M656,0)</f>
        <v>0</v>
      </c>
      <c r="AN656" s="46">
        <v>21</v>
      </c>
      <c r="AO656" s="46">
        <f>J656*0</f>
        <v>0</v>
      </c>
      <c r="AP656" s="46">
        <f>J656*(1-0)</f>
        <v>0</v>
      </c>
      <c r="AQ656" s="42" t="s">
        <v>1648</v>
      </c>
      <c r="AV656" s="46">
        <f>AW656+AX656</f>
        <v>0</v>
      </c>
      <c r="AW656" s="46">
        <f>I656*AO656</f>
        <v>0</v>
      </c>
      <c r="AX656" s="46">
        <f>I656*AP656</f>
        <v>0</v>
      </c>
      <c r="AY656" s="42" t="s">
        <v>1180</v>
      </c>
      <c r="AZ656" s="42" t="s">
        <v>815</v>
      </c>
      <c r="BA656" s="1" t="s">
        <v>172</v>
      </c>
      <c r="BC656" s="46">
        <f>AW656+AX656</f>
        <v>0</v>
      </c>
      <c r="BD656" s="46">
        <f>J656/(100-BE656)*100</f>
        <v>0</v>
      </c>
      <c r="BE656" s="46">
        <v>0</v>
      </c>
      <c r="BF656" s="46">
        <f>656</f>
        <v>656</v>
      </c>
      <c r="BH656" s="46">
        <f>I656*AO656</f>
        <v>0</v>
      </c>
      <c r="BI656" s="46">
        <f>I656*AP656</f>
        <v>0</v>
      </c>
      <c r="BJ656" s="46">
        <f>I656*J656</f>
        <v>0</v>
      </c>
      <c r="BK656" s="46"/>
      <c r="BL656" s="46">
        <v>15</v>
      </c>
    </row>
    <row r="657" spans="1:47" ht="15" customHeight="1">
      <c r="A657" s="3" t="s">
        <v>1163</v>
      </c>
      <c r="B657" s="9" t="s">
        <v>1668</v>
      </c>
      <c r="C657" s="9" t="s">
        <v>153</v>
      </c>
      <c r="D657" s="64" t="s">
        <v>1379</v>
      </c>
      <c r="E657" s="64"/>
      <c r="F657" s="64"/>
      <c r="G657" s="64"/>
      <c r="H657" s="41" t="s">
        <v>1537</v>
      </c>
      <c r="I657" s="41" t="s">
        <v>1537</v>
      </c>
      <c r="J657" s="41" t="s">
        <v>1537</v>
      </c>
      <c r="K657" s="50">
        <f>SUM(K658:K661)</f>
        <v>0</v>
      </c>
      <c r="L657" s="50">
        <f>SUM(L658:L661)</f>
        <v>0</v>
      </c>
      <c r="M657" s="50">
        <f>SUM(M658:M661)</f>
        <v>0</v>
      </c>
      <c r="N657" s="1" t="s">
        <v>1163</v>
      </c>
      <c r="O657" s="45" t="s">
        <v>1163</v>
      </c>
      <c r="AI657" s="1" t="s">
        <v>1668</v>
      </c>
      <c r="AS657" s="50">
        <f>SUM(AJ658:AJ661)</f>
        <v>0</v>
      </c>
      <c r="AT657" s="50">
        <f>SUM(AK658:AK661)</f>
        <v>0</v>
      </c>
      <c r="AU657" s="50">
        <f>SUM(AL658:AL661)</f>
        <v>0</v>
      </c>
    </row>
    <row r="658" spans="1:64" ht="15" customHeight="1">
      <c r="A658" s="52" t="s">
        <v>978</v>
      </c>
      <c r="B658" s="43" t="s">
        <v>1668</v>
      </c>
      <c r="C658" s="43" t="s">
        <v>23</v>
      </c>
      <c r="D658" s="61" t="s">
        <v>1389</v>
      </c>
      <c r="E658" s="61"/>
      <c r="F658" s="61"/>
      <c r="G658" s="61"/>
      <c r="H658" s="43" t="s">
        <v>1604</v>
      </c>
      <c r="I658" s="46">
        <v>195.85</v>
      </c>
      <c r="J658" s="46">
        <v>0</v>
      </c>
      <c r="K658" s="46">
        <f>I658*AO658</f>
        <v>0</v>
      </c>
      <c r="L658" s="46">
        <f>I658*AP658</f>
        <v>0</v>
      </c>
      <c r="M658" s="46">
        <f>I658*J658</f>
        <v>0</v>
      </c>
      <c r="N658" s="46">
        <v>0</v>
      </c>
      <c r="O658" s="6" t="s">
        <v>1149</v>
      </c>
      <c r="Z658" s="46">
        <f>IF(AQ658="5",BJ658,0)</f>
        <v>0</v>
      </c>
      <c r="AB658" s="46">
        <f>IF(AQ658="1",BH658,0)</f>
        <v>0</v>
      </c>
      <c r="AC658" s="46">
        <f>IF(AQ658="1",BI658,0)</f>
        <v>0</v>
      </c>
      <c r="AD658" s="46">
        <f>IF(AQ658="7",BH658,0)</f>
        <v>0</v>
      </c>
      <c r="AE658" s="46">
        <f>IF(AQ658="7",BI658,0)</f>
        <v>0</v>
      </c>
      <c r="AF658" s="46">
        <f>IF(AQ658="2",BH658,0)</f>
        <v>0</v>
      </c>
      <c r="AG658" s="46">
        <f>IF(AQ658="2",BI658,0)</f>
        <v>0</v>
      </c>
      <c r="AH658" s="46">
        <f>IF(AQ658="0",BJ658,0)</f>
        <v>0</v>
      </c>
      <c r="AI658" s="1" t="s">
        <v>1668</v>
      </c>
      <c r="AJ658" s="46">
        <f>IF(AN658=0,M658,0)</f>
        <v>0</v>
      </c>
      <c r="AK658" s="46">
        <f>IF(AN658=15,M658,0)</f>
        <v>0</v>
      </c>
      <c r="AL658" s="46">
        <f>IF(AN658=21,M658,0)</f>
        <v>0</v>
      </c>
      <c r="AN658" s="46">
        <v>21</v>
      </c>
      <c r="AO658" s="46">
        <f>J658*0</f>
        <v>0</v>
      </c>
      <c r="AP658" s="46">
        <f>J658*(1-0)</f>
        <v>0</v>
      </c>
      <c r="AQ658" s="42" t="s">
        <v>1648</v>
      </c>
      <c r="AV658" s="46">
        <f>AW658+AX658</f>
        <v>0</v>
      </c>
      <c r="AW658" s="46">
        <f>I658*AO658</f>
        <v>0</v>
      </c>
      <c r="AX658" s="46">
        <f>I658*AP658</f>
        <v>0</v>
      </c>
      <c r="AY658" s="42" t="s">
        <v>1541</v>
      </c>
      <c r="AZ658" s="42" t="s">
        <v>815</v>
      </c>
      <c r="BA658" s="1" t="s">
        <v>172</v>
      </c>
      <c r="BC658" s="46">
        <f>AW658+AX658</f>
        <v>0</v>
      </c>
      <c r="BD658" s="46">
        <f>J658/(100-BE658)*100</f>
        <v>0</v>
      </c>
      <c r="BE658" s="46">
        <v>0</v>
      </c>
      <c r="BF658" s="46">
        <f>658</f>
        <v>658</v>
      </c>
      <c r="BH658" s="46">
        <f>I658*AO658</f>
        <v>0</v>
      </c>
      <c r="BI658" s="46">
        <f>I658*AP658</f>
        <v>0</v>
      </c>
      <c r="BJ658" s="46">
        <f>I658*J658</f>
        <v>0</v>
      </c>
      <c r="BK658" s="46"/>
      <c r="BL658" s="46">
        <v>16</v>
      </c>
    </row>
    <row r="659" spans="1:15" ht="15" customHeight="1">
      <c r="A659" s="10"/>
      <c r="D659" s="32" t="s">
        <v>606</v>
      </c>
      <c r="G659" s="32" t="s">
        <v>1398</v>
      </c>
      <c r="I659" s="58">
        <v>39.214000000000006</v>
      </c>
      <c r="O659" s="30"/>
    </row>
    <row r="660" spans="1:15" ht="15" customHeight="1">
      <c r="A660" s="10"/>
      <c r="D660" s="32" t="s">
        <v>1335</v>
      </c>
      <c r="G660" s="32" t="s">
        <v>1726</v>
      </c>
      <c r="I660" s="58">
        <v>156.63600000000002</v>
      </c>
      <c r="O660" s="30"/>
    </row>
    <row r="661" spans="1:64" ht="15" customHeight="1">
      <c r="A661" s="52" t="s">
        <v>1514</v>
      </c>
      <c r="B661" s="43" t="s">
        <v>1668</v>
      </c>
      <c r="C661" s="43" t="s">
        <v>758</v>
      </c>
      <c r="D661" s="61" t="s">
        <v>890</v>
      </c>
      <c r="E661" s="61"/>
      <c r="F661" s="61"/>
      <c r="G661" s="61"/>
      <c r="H661" s="43" t="s">
        <v>1604</v>
      </c>
      <c r="I661" s="46">
        <v>5875.5</v>
      </c>
      <c r="J661" s="46">
        <v>0</v>
      </c>
      <c r="K661" s="46">
        <f>I661*AO661</f>
        <v>0</v>
      </c>
      <c r="L661" s="46">
        <f>I661*AP661</f>
        <v>0</v>
      </c>
      <c r="M661" s="46">
        <f>I661*J661</f>
        <v>0</v>
      </c>
      <c r="N661" s="46">
        <v>0</v>
      </c>
      <c r="O661" s="6" t="s">
        <v>1149</v>
      </c>
      <c r="Z661" s="46">
        <f>IF(AQ661="5",BJ661,0)</f>
        <v>0</v>
      </c>
      <c r="AB661" s="46">
        <f>IF(AQ661="1",BH661,0)</f>
        <v>0</v>
      </c>
      <c r="AC661" s="46">
        <f>IF(AQ661="1",BI661,0)</f>
        <v>0</v>
      </c>
      <c r="AD661" s="46">
        <f>IF(AQ661="7",BH661,0)</f>
        <v>0</v>
      </c>
      <c r="AE661" s="46">
        <f>IF(AQ661="7",BI661,0)</f>
        <v>0</v>
      </c>
      <c r="AF661" s="46">
        <f>IF(AQ661="2",BH661,0)</f>
        <v>0</v>
      </c>
      <c r="AG661" s="46">
        <f>IF(AQ661="2",BI661,0)</f>
        <v>0</v>
      </c>
      <c r="AH661" s="46">
        <f>IF(AQ661="0",BJ661,0)</f>
        <v>0</v>
      </c>
      <c r="AI661" s="1" t="s">
        <v>1668</v>
      </c>
      <c r="AJ661" s="46">
        <f>IF(AN661=0,M661,0)</f>
        <v>0</v>
      </c>
      <c r="AK661" s="46">
        <f>IF(AN661=15,M661,0)</f>
        <v>0</v>
      </c>
      <c r="AL661" s="46">
        <f>IF(AN661=21,M661,0)</f>
        <v>0</v>
      </c>
      <c r="AN661" s="46">
        <v>21</v>
      </c>
      <c r="AO661" s="46">
        <f>J661*0</f>
        <v>0</v>
      </c>
      <c r="AP661" s="46">
        <f>J661*(1-0)</f>
        <v>0</v>
      </c>
      <c r="AQ661" s="42" t="s">
        <v>1648</v>
      </c>
      <c r="AV661" s="46">
        <f>AW661+AX661</f>
        <v>0</v>
      </c>
      <c r="AW661" s="46">
        <f>I661*AO661</f>
        <v>0</v>
      </c>
      <c r="AX661" s="46">
        <f>I661*AP661</f>
        <v>0</v>
      </c>
      <c r="AY661" s="42" t="s">
        <v>1541</v>
      </c>
      <c r="AZ661" s="42" t="s">
        <v>815</v>
      </c>
      <c r="BA661" s="1" t="s">
        <v>172</v>
      </c>
      <c r="BC661" s="46">
        <f>AW661+AX661</f>
        <v>0</v>
      </c>
      <c r="BD661" s="46">
        <f>J661/(100-BE661)*100</f>
        <v>0</v>
      </c>
      <c r="BE661" s="46">
        <v>0</v>
      </c>
      <c r="BF661" s="46">
        <f>661</f>
        <v>661</v>
      </c>
      <c r="BH661" s="46">
        <f>I661*AO661</f>
        <v>0</v>
      </c>
      <c r="BI661" s="46">
        <f>I661*AP661</f>
        <v>0</v>
      </c>
      <c r="BJ661" s="46">
        <f>I661*J661</f>
        <v>0</v>
      </c>
      <c r="BK661" s="46"/>
      <c r="BL661" s="46">
        <v>16</v>
      </c>
    </row>
    <row r="662" spans="1:15" ht="15" customHeight="1">
      <c r="A662" s="10"/>
      <c r="D662" s="32" t="s">
        <v>1497</v>
      </c>
      <c r="G662" s="32" t="s">
        <v>1688</v>
      </c>
      <c r="I662" s="58">
        <v>5875.500000000001</v>
      </c>
      <c r="O662" s="30"/>
    </row>
    <row r="663" spans="1:47" ht="15" customHeight="1">
      <c r="A663" s="3" t="s">
        <v>1163</v>
      </c>
      <c r="B663" s="9" t="s">
        <v>1668</v>
      </c>
      <c r="C663" s="9" t="s">
        <v>1169</v>
      </c>
      <c r="D663" s="64" t="s">
        <v>225</v>
      </c>
      <c r="E663" s="64"/>
      <c r="F663" s="64"/>
      <c r="G663" s="64"/>
      <c r="H663" s="41" t="s">
        <v>1537</v>
      </c>
      <c r="I663" s="41" t="s">
        <v>1537</v>
      </c>
      <c r="J663" s="41" t="s">
        <v>1537</v>
      </c>
      <c r="K663" s="50">
        <f>SUM(K664:K666)</f>
        <v>0</v>
      </c>
      <c r="L663" s="50">
        <f>SUM(L664:L666)</f>
        <v>0</v>
      </c>
      <c r="M663" s="50">
        <f>SUM(M664:M666)</f>
        <v>0</v>
      </c>
      <c r="N663" s="1" t="s">
        <v>1163</v>
      </c>
      <c r="O663" s="45" t="s">
        <v>1163</v>
      </c>
      <c r="AI663" s="1" t="s">
        <v>1668</v>
      </c>
      <c r="AS663" s="50">
        <f>SUM(AJ664:AJ666)</f>
        <v>0</v>
      </c>
      <c r="AT663" s="50">
        <f>SUM(AK664:AK666)</f>
        <v>0</v>
      </c>
      <c r="AU663" s="50">
        <f>SUM(AL664:AL666)</f>
        <v>0</v>
      </c>
    </row>
    <row r="664" spans="1:64" ht="15" customHeight="1">
      <c r="A664" s="52" t="s">
        <v>859</v>
      </c>
      <c r="B664" s="43" t="s">
        <v>1668</v>
      </c>
      <c r="C664" s="43" t="s">
        <v>1450</v>
      </c>
      <c r="D664" s="61" t="s">
        <v>47</v>
      </c>
      <c r="E664" s="61"/>
      <c r="F664" s="61"/>
      <c r="G664" s="61"/>
      <c r="H664" s="43" t="s">
        <v>1604</v>
      </c>
      <c r="I664" s="46">
        <v>156.636</v>
      </c>
      <c r="J664" s="46">
        <v>0</v>
      </c>
      <c r="K664" s="46">
        <f>I664*AO664</f>
        <v>0</v>
      </c>
      <c r="L664" s="46">
        <f>I664*AP664</f>
        <v>0</v>
      </c>
      <c r="M664" s="46">
        <f>I664*J664</f>
        <v>0</v>
      </c>
      <c r="N664" s="46">
        <v>1.7</v>
      </c>
      <c r="O664" s="6" t="s">
        <v>1149</v>
      </c>
      <c r="Z664" s="46">
        <f>IF(AQ664="5",BJ664,0)</f>
        <v>0</v>
      </c>
      <c r="AB664" s="46">
        <f>IF(AQ664="1",BH664,0)</f>
        <v>0</v>
      </c>
      <c r="AC664" s="46">
        <f>IF(AQ664="1",BI664,0)</f>
        <v>0</v>
      </c>
      <c r="AD664" s="46">
        <f>IF(AQ664="7",BH664,0)</f>
        <v>0</v>
      </c>
      <c r="AE664" s="46">
        <f>IF(AQ664="7",BI664,0)</f>
        <v>0</v>
      </c>
      <c r="AF664" s="46">
        <f>IF(AQ664="2",BH664,0)</f>
        <v>0</v>
      </c>
      <c r="AG664" s="46">
        <f>IF(AQ664="2",BI664,0)</f>
        <v>0</v>
      </c>
      <c r="AH664" s="46">
        <f>IF(AQ664="0",BJ664,0)</f>
        <v>0</v>
      </c>
      <c r="AI664" s="1" t="s">
        <v>1668</v>
      </c>
      <c r="AJ664" s="46">
        <f>IF(AN664=0,M664,0)</f>
        <v>0</v>
      </c>
      <c r="AK664" s="46">
        <f>IF(AN664=15,M664,0)</f>
        <v>0</v>
      </c>
      <c r="AL664" s="46">
        <f>IF(AN664=21,M664,0)</f>
        <v>0</v>
      </c>
      <c r="AN664" s="46">
        <v>21</v>
      </c>
      <c r="AO664" s="46">
        <f>J664*0.503380659550415</f>
        <v>0</v>
      </c>
      <c r="AP664" s="46">
        <f>J664*(1-0.503380659550415)</f>
        <v>0</v>
      </c>
      <c r="AQ664" s="42" t="s">
        <v>1648</v>
      </c>
      <c r="AV664" s="46">
        <f>AW664+AX664</f>
        <v>0</v>
      </c>
      <c r="AW664" s="46">
        <f>I664*AO664</f>
        <v>0</v>
      </c>
      <c r="AX664" s="46">
        <f>I664*AP664</f>
        <v>0</v>
      </c>
      <c r="AY664" s="42" t="s">
        <v>319</v>
      </c>
      <c r="AZ664" s="42" t="s">
        <v>815</v>
      </c>
      <c r="BA664" s="1" t="s">
        <v>172</v>
      </c>
      <c r="BC664" s="46">
        <f>AW664+AX664</f>
        <v>0</v>
      </c>
      <c r="BD664" s="46">
        <f>J664/(100-BE664)*100</f>
        <v>0</v>
      </c>
      <c r="BE664" s="46">
        <v>0</v>
      </c>
      <c r="BF664" s="46">
        <f>664</f>
        <v>664</v>
      </c>
      <c r="BH664" s="46">
        <f>I664*AO664</f>
        <v>0</v>
      </c>
      <c r="BI664" s="46">
        <f>I664*AP664</f>
        <v>0</v>
      </c>
      <c r="BJ664" s="46">
        <f>I664*J664</f>
        <v>0</v>
      </c>
      <c r="BK664" s="46"/>
      <c r="BL664" s="46">
        <v>17</v>
      </c>
    </row>
    <row r="665" spans="1:15" ht="15" customHeight="1">
      <c r="A665" s="10"/>
      <c r="D665" s="32" t="s">
        <v>1540</v>
      </c>
      <c r="G665" s="32" t="s">
        <v>268</v>
      </c>
      <c r="I665" s="58">
        <v>156.63600000000002</v>
      </c>
      <c r="O665" s="30"/>
    </row>
    <row r="666" spans="1:64" ht="15" customHeight="1">
      <c r="A666" s="52" t="s">
        <v>1486</v>
      </c>
      <c r="B666" s="43" t="s">
        <v>1668</v>
      </c>
      <c r="C666" s="43" t="s">
        <v>1227</v>
      </c>
      <c r="D666" s="61" t="s">
        <v>862</v>
      </c>
      <c r="E666" s="61"/>
      <c r="F666" s="61"/>
      <c r="G666" s="61"/>
      <c r="H666" s="43" t="s">
        <v>1604</v>
      </c>
      <c r="I666" s="46">
        <v>532.826</v>
      </c>
      <c r="J666" s="46">
        <v>0</v>
      </c>
      <c r="K666" s="46">
        <f>I666*AO666</f>
        <v>0</v>
      </c>
      <c r="L666" s="46">
        <f>I666*AP666</f>
        <v>0</v>
      </c>
      <c r="M666" s="46">
        <f>I666*J666</f>
        <v>0</v>
      </c>
      <c r="N666" s="46">
        <v>0</v>
      </c>
      <c r="O666" s="6" t="s">
        <v>1149</v>
      </c>
      <c r="Z666" s="46">
        <f>IF(AQ666="5",BJ666,0)</f>
        <v>0</v>
      </c>
      <c r="AB666" s="46">
        <f>IF(AQ666="1",BH666,0)</f>
        <v>0</v>
      </c>
      <c r="AC666" s="46">
        <f>IF(AQ666="1",BI666,0)</f>
        <v>0</v>
      </c>
      <c r="AD666" s="46">
        <f>IF(AQ666="7",BH666,0)</f>
        <v>0</v>
      </c>
      <c r="AE666" s="46">
        <f>IF(AQ666="7",BI666,0)</f>
        <v>0</v>
      </c>
      <c r="AF666" s="46">
        <f>IF(AQ666="2",BH666,0)</f>
        <v>0</v>
      </c>
      <c r="AG666" s="46">
        <f>IF(AQ666="2",BI666,0)</f>
        <v>0</v>
      </c>
      <c r="AH666" s="46">
        <f>IF(AQ666="0",BJ666,0)</f>
        <v>0</v>
      </c>
      <c r="AI666" s="1" t="s">
        <v>1668</v>
      </c>
      <c r="AJ666" s="46">
        <f>IF(AN666=0,M666,0)</f>
        <v>0</v>
      </c>
      <c r="AK666" s="46">
        <f>IF(AN666=15,M666,0)</f>
        <v>0</v>
      </c>
      <c r="AL666" s="46">
        <f>IF(AN666=21,M666,0)</f>
        <v>0</v>
      </c>
      <c r="AN666" s="46">
        <v>21</v>
      </c>
      <c r="AO666" s="46">
        <f>J666*0</f>
        <v>0</v>
      </c>
      <c r="AP666" s="46">
        <f>J666*(1-0)</f>
        <v>0</v>
      </c>
      <c r="AQ666" s="42" t="s">
        <v>1648</v>
      </c>
      <c r="AV666" s="46">
        <f>AW666+AX666</f>
        <v>0</v>
      </c>
      <c r="AW666" s="46">
        <f>I666*AO666</f>
        <v>0</v>
      </c>
      <c r="AX666" s="46">
        <f>I666*AP666</f>
        <v>0</v>
      </c>
      <c r="AY666" s="42" t="s">
        <v>319</v>
      </c>
      <c r="AZ666" s="42" t="s">
        <v>815</v>
      </c>
      <c r="BA666" s="1" t="s">
        <v>172</v>
      </c>
      <c r="BC666" s="46">
        <f>AW666+AX666</f>
        <v>0</v>
      </c>
      <c r="BD666" s="46">
        <f>J666/(100-BE666)*100</f>
        <v>0</v>
      </c>
      <c r="BE666" s="46">
        <v>0</v>
      </c>
      <c r="BF666" s="46">
        <f>666</f>
        <v>666</v>
      </c>
      <c r="BH666" s="46">
        <f>I666*AO666</f>
        <v>0</v>
      </c>
      <c r="BI666" s="46">
        <f>I666*AP666</f>
        <v>0</v>
      </c>
      <c r="BJ666" s="46">
        <f>I666*J666</f>
        <v>0</v>
      </c>
      <c r="BK666" s="46"/>
      <c r="BL666" s="46">
        <v>17</v>
      </c>
    </row>
    <row r="667" spans="1:15" ht="15" customHeight="1">
      <c r="A667" s="10"/>
      <c r="D667" s="32" t="s">
        <v>669</v>
      </c>
      <c r="G667" s="32" t="s">
        <v>821</v>
      </c>
      <c r="I667" s="58">
        <v>572.0400000000001</v>
      </c>
      <c r="O667" s="30"/>
    </row>
    <row r="668" spans="1:15" ht="15" customHeight="1">
      <c r="A668" s="10"/>
      <c r="D668" s="32" t="s">
        <v>1396</v>
      </c>
      <c r="G668" s="32" t="s">
        <v>1148</v>
      </c>
      <c r="I668" s="58">
        <v>-195.85000000000002</v>
      </c>
      <c r="O668" s="30"/>
    </row>
    <row r="669" spans="1:15" ht="15" customHeight="1">
      <c r="A669" s="10"/>
      <c r="D669" s="32" t="s">
        <v>695</v>
      </c>
      <c r="G669" s="32" t="s">
        <v>467</v>
      </c>
      <c r="I669" s="58">
        <v>156.63600000000002</v>
      </c>
      <c r="O669" s="30"/>
    </row>
    <row r="670" spans="1:47" ht="15" customHeight="1">
      <c r="A670" s="3" t="s">
        <v>1163</v>
      </c>
      <c r="B670" s="9" t="s">
        <v>1668</v>
      </c>
      <c r="C670" s="9" t="s">
        <v>1333</v>
      </c>
      <c r="D670" s="64" t="s">
        <v>1677</v>
      </c>
      <c r="E670" s="64"/>
      <c r="F670" s="64"/>
      <c r="G670" s="64"/>
      <c r="H670" s="41" t="s">
        <v>1537</v>
      </c>
      <c r="I670" s="41" t="s">
        <v>1537</v>
      </c>
      <c r="J670" s="41" t="s">
        <v>1537</v>
      </c>
      <c r="K670" s="50">
        <f>SUM(K671:K673)</f>
        <v>0</v>
      </c>
      <c r="L670" s="50">
        <f>SUM(L671:L673)</f>
        <v>0</v>
      </c>
      <c r="M670" s="50">
        <f>SUM(M671:M673)</f>
        <v>0</v>
      </c>
      <c r="N670" s="1" t="s">
        <v>1163</v>
      </c>
      <c r="O670" s="45" t="s">
        <v>1163</v>
      </c>
      <c r="AI670" s="1" t="s">
        <v>1668</v>
      </c>
      <c r="AS670" s="50">
        <f>SUM(AJ671:AJ673)</f>
        <v>0</v>
      </c>
      <c r="AT670" s="50">
        <f>SUM(AK671:AK673)</f>
        <v>0</v>
      </c>
      <c r="AU670" s="50">
        <f>SUM(AL671:AL673)</f>
        <v>0</v>
      </c>
    </row>
    <row r="671" spans="1:64" ht="15" customHeight="1">
      <c r="A671" s="52" t="s">
        <v>1738</v>
      </c>
      <c r="B671" s="43" t="s">
        <v>1668</v>
      </c>
      <c r="C671" s="43" t="s">
        <v>878</v>
      </c>
      <c r="D671" s="61" t="s">
        <v>1330</v>
      </c>
      <c r="E671" s="61"/>
      <c r="F671" s="61"/>
      <c r="G671" s="61"/>
      <c r="H671" s="43" t="s">
        <v>1629</v>
      </c>
      <c r="I671" s="46">
        <v>45</v>
      </c>
      <c r="J671" s="46">
        <v>0</v>
      </c>
      <c r="K671" s="46">
        <f>I671*AO671</f>
        <v>0</v>
      </c>
      <c r="L671" s="46">
        <f>I671*AP671</f>
        <v>0</v>
      </c>
      <c r="M671" s="46">
        <f>I671*J671</f>
        <v>0</v>
      </c>
      <c r="N671" s="46">
        <v>3E-05</v>
      </c>
      <c r="O671" s="6" t="s">
        <v>1149</v>
      </c>
      <c r="Z671" s="46">
        <f>IF(AQ671="5",BJ671,0)</f>
        <v>0</v>
      </c>
      <c r="AB671" s="46">
        <f>IF(AQ671="1",BH671,0)</f>
        <v>0</v>
      </c>
      <c r="AC671" s="46">
        <f>IF(AQ671="1",BI671,0)</f>
        <v>0</v>
      </c>
      <c r="AD671" s="46">
        <f>IF(AQ671="7",BH671,0)</f>
        <v>0</v>
      </c>
      <c r="AE671" s="46">
        <f>IF(AQ671="7",BI671,0)</f>
        <v>0</v>
      </c>
      <c r="AF671" s="46">
        <f>IF(AQ671="2",BH671,0)</f>
        <v>0</v>
      </c>
      <c r="AG671" s="46">
        <f>IF(AQ671="2",BI671,0)</f>
        <v>0</v>
      </c>
      <c r="AH671" s="46">
        <f>IF(AQ671="0",BJ671,0)</f>
        <v>0</v>
      </c>
      <c r="AI671" s="1" t="s">
        <v>1668</v>
      </c>
      <c r="AJ671" s="46">
        <f>IF(AN671=0,M671,0)</f>
        <v>0</v>
      </c>
      <c r="AK671" s="46">
        <f>IF(AN671=15,M671,0)</f>
        <v>0</v>
      </c>
      <c r="AL671" s="46">
        <f>IF(AN671=21,M671,0)</f>
        <v>0</v>
      </c>
      <c r="AN671" s="46">
        <v>21</v>
      </c>
      <c r="AO671" s="46">
        <f>J671*0.0401051939513478</f>
        <v>0</v>
      </c>
      <c r="AP671" s="46">
        <f>J671*(1-0.0401051939513478)</f>
        <v>0</v>
      </c>
      <c r="AQ671" s="42" t="s">
        <v>1648</v>
      </c>
      <c r="AV671" s="46">
        <f>AW671+AX671</f>
        <v>0</v>
      </c>
      <c r="AW671" s="46">
        <f>I671*AO671</f>
        <v>0</v>
      </c>
      <c r="AX671" s="46">
        <f>I671*AP671</f>
        <v>0</v>
      </c>
      <c r="AY671" s="42" t="s">
        <v>814</v>
      </c>
      <c r="AZ671" s="42" t="s">
        <v>815</v>
      </c>
      <c r="BA671" s="1" t="s">
        <v>172</v>
      </c>
      <c r="BC671" s="46">
        <f>AW671+AX671</f>
        <v>0</v>
      </c>
      <c r="BD671" s="46">
        <f>J671/(100-BE671)*100</f>
        <v>0</v>
      </c>
      <c r="BE671" s="46">
        <v>0</v>
      </c>
      <c r="BF671" s="46">
        <f>671</f>
        <v>671</v>
      </c>
      <c r="BH671" s="46">
        <f>I671*AO671</f>
        <v>0</v>
      </c>
      <c r="BI671" s="46">
        <f>I671*AP671</f>
        <v>0</v>
      </c>
      <c r="BJ671" s="46">
        <f>I671*J671</f>
        <v>0</v>
      </c>
      <c r="BK671" s="46"/>
      <c r="BL671" s="46">
        <v>18</v>
      </c>
    </row>
    <row r="672" spans="1:15" ht="15" customHeight="1">
      <c r="A672" s="10"/>
      <c r="D672" s="32" t="s">
        <v>627</v>
      </c>
      <c r="G672" s="32" t="s">
        <v>1163</v>
      </c>
      <c r="I672" s="58">
        <v>45.00000000000001</v>
      </c>
      <c r="O672" s="30"/>
    </row>
    <row r="673" spans="1:64" ht="15" customHeight="1">
      <c r="A673" s="52" t="s">
        <v>480</v>
      </c>
      <c r="B673" s="43" t="s">
        <v>1668</v>
      </c>
      <c r="C673" s="43" t="s">
        <v>1686</v>
      </c>
      <c r="D673" s="61" t="s">
        <v>1779</v>
      </c>
      <c r="E673" s="61"/>
      <c r="F673" s="61"/>
      <c r="G673" s="61"/>
      <c r="H673" s="43" t="s">
        <v>1574</v>
      </c>
      <c r="I673" s="46">
        <v>0.9</v>
      </c>
      <c r="J673" s="46">
        <v>0</v>
      </c>
      <c r="K673" s="46">
        <f>I673*AO673</f>
        <v>0</v>
      </c>
      <c r="L673" s="46">
        <f>I673*AP673</f>
        <v>0</v>
      </c>
      <c r="M673" s="46">
        <f>I673*J673</f>
        <v>0</v>
      </c>
      <c r="N673" s="46">
        <v>0.001</v>
      </c>
      <c r="O673" s="6" t="s">
        <v>1149</v>
      </c>
      <c r="Z673" s="46">
        <f>IF(AQ673="5",BJ673,0)</f>
        <v>0</v>
      </c>
      <c r="AB673" s="46">
        <f>IF(AQ673="1",BH673,0)</f>
        <v>0</v>
      </c>
      <c r="AC673" s="46">
        <f>IF(AQ673="1",BI673,0)</f>
        <v>0</v>
      </c>
      <c r="AD673" s="46">
        <f>IF(AQ673="7",BH673,0)</f>
        <v>0</v>
      </c>
      <c r="AE673" s="46">
        <f>IF(AQ673="7",BI673,0)</f>
        <v>0</v>
      </c>
      <c r="AF673" s="46">
        <f>IF(AQ673="2",BH673,0)</f>
        <v>0</v>
      </c>
      <c r="AG673" s="46">
        <f>IF(AQ673="2",BI673,0)</f>
        <v>0</v>
      </c>
      <c r="AH673" s="46">
        <f>IF(AQ673="0",BJ673,0)</f>
        <v>0</v>
      </c>
      <c r="AI673" s="1" t="s">
        <v>1668</v>
      </c>
      <c r="AJ673" s="46">
        <f>IF(AN673=0,M673,0)</f>
        <v>0</v>
      </c>
      <c r="AK673" s="46">
        <f>IF(AN673=15,M673,0)</f>
        <v>0</v>
      </c>
      <c r="AL673" s="46">
        <f>IF(AN673=21,M673,0)</f>
        <v>0</v>
      </c>
      <c r="AN673" s="46">
        <v>21</v>
      </c>
      <c r="AO673" s="46">
        <f>J673*1</f>
        <v>0</v>
      </c>
      <c r="AP673" s="46">
        <f>J673*(1-1)</f>
        <v>0</v>
      </c>
      <c r="AQ673" s="42" t="s">
        <v>1648</v>
      </c>
      <c r="AV673" s="46">
        <f>AW673+AX673</f>
        <v>0</v>
      </c>
      <c r="AW673" s="46">
        <f>I673*AO673</f>
        <v>0</v>
      </c>
      <c r="AX673" s="46">
        <f>I673*AP673</f>
        <v>0</v>
      </c>
      <c r="AY673" s="42" t="s">
        <v>814</v>
      </c>
      <c r="AZ673" s="42" t="s">
        <v>815</v>
      </c>
      <c r="BA673" s="1" t="s">
        <v>172</v>
      </c>
      <c r="BC673" s="46">
        <f>AW673+AX673</f>
        <v>0</v>
      </c>
      <c r="BD673" s="46">
        <f>J673/(100-BE673)*100</f>
        <v>0</v>
      </c>
      <c r="BE673" s="46">
        <v>0</v>
      </c>
      <c r="BF673" s="46">
        <f>673</f>
        <v>673</v>
      </c>
      <c r="BH673" s="46">
        <f>I673*AO673</f>
        <v>0</v>
      </c>
      <c r="BI673" s="46">
        <f>I673*AP673</f>
        <v>0</v>
      </c>
      <c r="BJ673" s="46">
        <f>I673*J673</f>
        <v>0</v>
      </c>
      <c r="BK673" s="46"/>
      <c r="BL673" s="46">
        <v>18</v>
      </c>
    </row>
    <row r="674" spans="1:15" ht="15" customHeight="1">
      <c r="A674" s="10"/>
      <c r="D674" s="32" t="s">
        <v>1494</v>
      </c>
      <c r="G674" s="32" t="s">
        <v>1163</v>
      </c>
      <c r="I674" s="58">
        <v>0.9</v>
      </c>
      <c r="O674" s="30"/>
    </row>
    <row r="675" spans="1:47" ht="15" customHeight="1">
      <c r="A675" s="3" t="s">
        <v>1163</v>
      </c>
      <c r="B675" s="9" t="s">
        <v>1668</v>
      </c>
      <c r="C675" s="9" t="s">
        <v>1070</v>
      </c>
      <c r="D675" s="64" t="s">
        <v>567</v>
      </c>
      <c r="E675" s="64"/>
      <c r="F675" s="64"/>
      <c r="G675" s="64"/>
      <c r="H675" s="41" t="s">
        <v>1537</v>
      </c>
      <c r="I675" s="41" t="s">
        <v>1537</v>
      </c>
      <c r="J675" s="41" t="s">
        <v>1537</v>
      </c>
      <c r="K675" s="50">
        <f>SUM(K676:K676)</f>
        <v>0</v>
      </c>
      <c r="L675" s="50">
        <f>SUM(L676:L676)</f>
        <v>0</v>
      </c>
      <c r="M675" s="50">
        <f>SUM(M676:M676)</f>
        <v>0</v>
      </c>
      <c r="N675" s="1" t="s">
        <v>1163</v>
      </c>
      <c r="O675" s="45" t="s">
        <v>1163</v>
      </c>
      <c r="AI675" s="1" t="s">
        <v>1668</v>
      </c>
      <c r="AS675" s="50">
        <f>SUM(AJ676:AJ676)</f>
        <v>0</v>
      </c>
      <c r="AT675" s="50">
        <f>SUM(AK676:AK676)</f>
        <v>0</v>
      </c>
      <c r="AU675" s="50">
        <f>SUM(AL676:AL676)</f>
        <v>0</v>
      </c>
    </row>
    <row r="676" spans="1:64" ht="15" customHeight="1">
      <c r="A676" s="52" t="s">
        <v>1123</v>
      </c>
      <c r="B676" s="43" t="s">
        <v>1668</v>
      </c>
      <c r="C676" s="43" t="s">
        <v>1145</v>
      </c>
      <c r="D676" s="61" t="s">
        <v>1601</v>
      </c>
      <c r="E676" s="61"/>
      <c r="F676" s="61"/>
      <c r="G676" s="61"/>
      <c r="H676" s="43" t="s">
        <v>1604</v>
      </c>
      <c r="I676" s="46">
        <v>195.85</v>
      </c>
      <c r="J676" s="46">
        <v>0</v>
      </c>
      <c r="K676" s="46">
        <f>I676*AO676</f>
        <v>0</v>
      </c>
      <c r="L676" s="46">
        <f>I676*AP676</f>
        <v>0</v>
      </c>
      <c r="M676" s="46">
        <f>I676*J676</f>
        <v>0</v>
      </c>
      <c r="N676" s="46">
        <v>0</v>
      </c>
      <c r="O676" s="6" t="s">
        <v>1149</v>
      </c>
      <c r="Z676" s="46">
        <f>IF(AQ676="5",BJ676,0)</f>
        <v>0</v>
      </c>
      <c r="AB676" s="46">
        <f>IF(AQ676="1",BH676,0)</f>
        <v>0</v>
      </c>
      <c r="AC676" s="46">
        <f>IF(AQ676="1",BI676,0)</f>
        <v>0</v>
      </c>
      <c r="AD676" s="46">
        <f>IF(AQ676="7",BH676,0)</f>
        <v>0</v>
      </c>
      <c r="AE676" s="46">
        <f>IF(AQ676="7",BI676,0)</f>
        <v>0</v>
      </c>
      <c r="AF676" s="46">
        <f>IF(AQ676="2",BH676,0)</f>
        <v>0</v>
      </c>
      <c r="AG676" s="46">
        <f>IF(AQ676="2",BI676,0)</f>
        <v>0</v>
      </c>
      <c r="AH676" s="46">
        <f>IF(AQ676="0",BJ676,0)</f>
        <v>0</v>
      </c>
      <c r="AI676" s="1" t="s">
        <v>1668</v>
      </c>
      <c r="AJ676" s="46">
        <f>IF(AN676=0,M676,0)</f>
        <v>0</v>
      </c>
      <c r="AK676" s="46">
        <f>IF(AN676=15,M676,0)</f>
        <v>0</v>
      </c>
      <c r="AL676" s="46">
        <f>IF(AN676=21,M676,0)</f>
        <v>0</v>
      </c>
      <c r="AN676" s="46">
        <v>21</v>
      </c>
      <c r="AO676" s="46">
        <f>J676*0</f>
        <v>0</v>
      </c>
      <c r="AP676" s="46">
        <f>J676*(1-0)</f>
        <v>0</v>
      </c>
      <c r="AQ676" s="42" t="s">
        <v>1648</v>
      </c>
      <c r="AV676" s="46">
        <f>AW676+AX676</f>
        <v>0</v>
      </c>
      <c r="AW676" s="46">
        <f>I676*AO676</f>
        <v>0</v>
      </c>
      <c r="AX676" s="46">
        <f>I676*AP676</f>
        <v>0</v>
      </c>
      <c r="AY676" s="42" t="s">
        <v>1313</v>
      </c>
      <c r="AZ676" s="42" t="s">
        <v>815</v>
      </c>
      <c r="BA676" s="1" t="s">
        <v>172</v>
      </c>
      <c r="BC676" s="46">
        <f>AW676+AX676</f>
        <v>0</v>
      </c>
      <c r="BD676" s="46">
        <f>J676/(100-BE676)*100</f>
        <v>0</v>
      </c>
      <c r="BE676" s="46">
        <v>0</v>
      </c>
      <c r="BF676" s="46">
        <f>676</f>
        <v>676</v>
      </c>
      <c r="BH676" s="46">
        <f>I676*AO676</f>
        <v>0</v>
      </c>
      <c r="BI676" s="46">
        <f>I676*AP676</f>
        <v>0</v>
      </c>
      <c r="BJ676" s="46">
        <f>I676*J676</f>
        <v>0</v>
      </c>
      <c r="BK676" s="46"/>
      <c r="BL676" s="46">
        <v>19</v>
      </c>
    </row>
    <row r="677" spans="1:15" ht="15" customHeight="1">
      <c r="A677" s="10"/>
      <c r="D677" s="32" t="s">
        <v>1770</v>
      </c>
      <c r="G677" s="32" t="s">
        <v>1398</v>
      </c>
      <c r="I677" s="58">
        <v>195.85000000000002</v>
      </c>
      <c r="O677" s="30"/>
    </row>
    <row r="678" spans="1:47" ht="15" customHeight="1">
      <c r="A678" s="3" t="s">
        <v>1163</v>
      </c>
      <c r="B678" s="9" t="s">
        <v>1668</v>
      </c>
      <c r="C678" s="9" t="s">
        <v>572</v>
      </c>
      <c r="D678" s="64" t="s">
        <v>1299</v>
      </c>
      <c r="E678" s="64"/>
      <c r="F678" s="64"/>
      <c r="G678" s="64"/>
      <c r="H678" s="41" t="s">
        <v>1537</v>
      </c>
      <c r="I678" s="41" t="s">
        <v>1537</v>
      </c>
      <c r="J678" s="41" t="s">
        <v>1537</v>
      </c>
      <c r="K678" s="50">
        <f>SUM(K679:K681)</f>
        <v>0</v>
      </c>
      <c r="L678" s="50">
        <f>SUM(L679:L681)</f>
        <v>0</v>
      </c>
      <c r="M678" s="50">
        <f>SUM(M679:M681)</f>
        <v>0</v>
      </c>
      <c r="N678" s="1" t="s">
        <v>1163</v>
      </c>
      <c r="O678" s="45" t="s">
        <v>1163</v>
      </c>
      <c r="AI678" s="1" t="s">
        <v>1668</v>
      </c>
      <c r="AS678" s="50">
        <f>SUM(AJ679:AJ681)</f>
        <v>0</v>
      </c>
      <c r="AT678" s="50">
        <f>SUM(AK679:AK681)</f>
        <v>0</v>
      </c>
      <c r="AU678" s="50">
        <f>SUM(AL679:AL681)</f>
        <v>0</v>
      </c>
    </row>
    <row r="679" spans="1:64" ht="15" customHeight="1">
      <c r="A679" s="52" t="s">
        <v>245</v>
      </c>
      <c r="B679" s="43" t="s">
        <v>1668</v>
      </c>
      <c r="C679" s="43" t="s">
        <v>1186</v>
      </c>
      <c r="D679" s="61" t="s">
        <v>474</v>
      </c>
      <c r="E679" s="61"/>
      <c r="F679" s="61"/>
      <c r="G679" s="61"/>
      <c r="H679" s="43" t="s">
        <v>1604</v>
      </c>
      <c r="I679" s="46">
        <v>39.159</v>
      </c>
      <c r="J679" s="46">
        <v>0</v>
      </c>
      <c r="K679" s="46">
        <f>I679*AO679</f>
        <v>0</v>
      </c>
      <c r="L679" s="46">
        <f>I679*AP679</f>
        <v>0</v>
      </c>
      <c r="M679" s="46">
        <f>I679*J679</f>
        <v>0</v>
      </c>
      <c r="N679" s="46">
        <v>1.89077</v>
      </c>
      <c r="O679" s="6" t="s">
        <v>1149</v>
      </c>
      <c r="Z679" s="46">
        <f>IF(AQ679="5",BJ679,0)</f>
        <v>0</v>
      </c>
      <c r="AB679" s="46">
        <f>IF(AQ679="1",BH679,0)</f>
        <v>0</v>
      </c>
      <c r="AC679" s="46">
        <f>IF(AQ679="1",BI679,0)</f>
        <v>0</v>
      </c>
      <c r="AD679" s="46">
        <f>IF(AQ679="7",BH679,0)</f>
        <v>0</v>
      </c>
      <c r="AE679" s="46">
        <f>IF(AQ679="7",BI679,0)</f>
        <v>0</v>
      </c>
      <c r="AF679" s="46">
        <f>IF(AQ679="2",BH679,0)</f>
        <v>0</v>
      </c>
      <c r="AG679" s="46">
        <f>IF(AQ679="2",BI679,0)</f>
        <v>0</v>
      </c>
      <c r="AH679" s="46">
        <f>IF(AQ679="0",BJ679,0)</f>
        <v>0</v>
      </c>
      <c r="AI679" s="1" t="s">
        <v>1668</v>
      </c>
      <c r="AJ679" s="46">
        <f>IF(AN679=0,M679,0)</f>
        <v>0</v>
      </c>
      <c r="AK679" s="46">
        <f>IF(AN679=15,M679,0)</f>
        <v>0</v>
      </c>
      <c r="AL679" s="46">
        <f>IF(AN679=21,M679,0)</f>
        <v>0</v>
      </c>
      <c r="AN679" s="46">
        <v>21</v>
      </c>
      <c r="AO679" s="46">
        <f>J679*0.480904523416475</f>
        <v>0</v>
      </c>
      <c r="AP679" s="46">
        <f>J679*(1-0.480904523416475)</f>
        <v>0</v>
      </c>
      <c r="AQ679" s="42" t="s">
        <v>1648</v>
      </c>
      <c r="AV679" s="46">
        <f>AW679+AX679</f>
        <v>0</v>
      </c>
      <c r="AW679" s="46">
        <f>I679*AO679</f>
        <v>0</v>
      </c>
      <c r="AX679" s="46">
        <f>I679*AP679</f>
        <v>0</v>
      </c>
      <c r="AY679" s="42" t="s">
        <v>802</v>
      </c>
      <c r="AZ679" s="42" t="s">
        <v>450</v>
      </c>
      <c r="BA679" s="1" t="s">
        <v>172</v>
      </c>
      <c r="BC679" s="46">
        <f>AW679+AX679</f>
        <v>0</v>
      </c>
      <c r="BD679" s="46">
        <f>J679/(100-BE679)*100</f>
        <v>0</v>
      </c>
      <c r="BE679" s="46">
        <v>0</v>
      </c>
      <c r="BF679" s="46">
        <f>679</f>
        <v>679</v>
      </c>
      <c r="BH679" s="46">
        <f>I679*AO679</f>
        <v>0</v>
      </c>
      <c r="BI679" s="46">
        <f>I679*AP679</f>
        <v>0</v>
      </c>
      <c r="BJ679" s="46">
        <f>I679*J679</f>
        <v>0</v>
      </c>
      <c r="BK679" s="46"/>
      <c r="BL679" s="46">
        <v>45</v>
      </c>
    </row>
    <row r="680" spans="1:15" ht="15" customHeight="1">
      <c r="A680" s="10"/>
      <c r="D680" s="32" t="s">
        <v>464</v>
      </c>
      <c r="G680" s="32" t="s">
        <v>1163</v>
      </c>
      <c r="I680" s="58">
        <v>39.159000000000006</v>
      </c>
      <c r="O680" s="30"/>
    </row>
    <row r="681" spans="1:64" ht="15" customHeight="1">
      <c r="A681" s="52" t="s">
        <v>420</v>
      </c>
      <c r="B681" s="43" t="s">
        <v>1668</v>
      </c>
      <c r="C681" s="43" t="s">
        <v>1336</v>
      </c>
      <c r="D681" s="61" t="s">
        <v>1794</v>
      </c>
      <c r="E681" s="61"/>
      <c r="F681" s="61"/>
      <c r="G681" s="61"/>
      <c r="H681" s="43" t="s">
        <v>1604</v>
      </c>
      <c r="I681" s="46">
        <v>0.05</v>
      </c>
      <c r="J681" s="46">
        <v>0</v>
      </c>
      <c r="K681" s="46">
        <f>I681*AO681</f>
        <v>0</v>
      </c>
      <c r="L681" s="46">
        <f>I681*AP681</f>
        <v>0</v>
      </c>
      <c r="M681" s="46">
        <f>I681*J681</f>
        <v>0</v>
      </c>
      <c r="N681" s="46">
        <v>2.5</v>
      </c>
      <c r="O681" s="6" t="s">
        <v>1149</v>
      </c>
      <c r="Z681" s="46">
        <f>IF(AQ681="5",BJ681,0)</f>
        <v>0</v>
      </c>
      <c r="AB681" s="46">
        <f>IF(AQ681="1",BH681,0)</f>
        <v>0</v>
      </c>
      <c r="AC681" s="46">
        <f>IF(AQ681="1",BI681,0)</f>
        <v>0</v>
      </c>
      <c r="AD681" s="46">
        <f>IF(AQ681="7",BH681,0)</f>
        <v>0</v>
      </c>
      <c r="AE681" s="46">
        <f>IF(AQ681="7",BI681,0)</f>
        <v>0</v>
      </c>
      <c r="AF681" s="46">
        <f>IF(AQ681="2",BH681,0)</f>
        <v>0</v>
      </c>
      <c r="AG681" s="46">
        <f>IF(AQ681="2",BI681,0)</f>
        <v>0</v>
      </c>
      <c r="AH681" s="46">
        <f>IF(AQ681="0",BJ681,0)</f>
        <v>0</v>
      </c>
      <c r="AI681" s="1" t="s">
        <v>1668</v>
      </c>
      <c r="AJ681" s="46">
        <f>IF(AN681=0,M681,0)</f>
        <v>0</v>
      </c>
      <c r="AK681" s="46">
        <f>IF(AN681=15,M681,0)</f>
        <v>0</v>
      </c>
      <c r="AL681" s="46">
        <f>IF(AN681=21,M681,0)</f>
        <v>0</v>
      </c>
      <c r="AN681" s="46">
        <v>21</v>
      </c>
      <c r="AO681" s="46">
        <f>J681*0.786681350954479</f>
        <v>0</v>
      </c>
      <c r="AP681" s="46">
        <f>J681*(1-0.786681350954479)</f>
        <v>0</v>
      </c>
      <c r="AQ681" s="42" t="s">
        <v>1648</v>
      </c>
      <c r="AV681" s="46">
        <f>AW681+AX681</f>
        <v>0</v>
      </c>
      <c r="AW681" s="46">
        <f>I681*AO681</f>
        <v>0</v>
      </c>
      <c r="AX681" s="46">
        <f>I681*AP681</f>
        <v>0</v>
      </c>
      <c r="AY681" s="42" t="s">
        <v>802</v>
      </c>
      <c r="AZ681" s="42" t="s">
        <v>450</v>
      </c>
      <c r="BA681" s="1" t="s">
        <v>172</v>
      </c>
      <c r="BC681" s="46">
        <f>AW681+AX681</f>
        <v>0</v>
      </c>
      <c r="BD681" s="46">
        <f>J681/(100-BE681)*100</f>
        <v>0</v>
      </c>
      <c r="BE681" s="46">
        <v>0</v>
      </c>
      <c r="BF681" s="46">
        <f>681</f>
        <v>681</v>
      </c>
      <c r="BH681" s="46">
        <f>I681*AO681</f>
        <v>0</v>
      </c>
      <c r="BI681" s="46">
        <f>I681*AP681</f>
        <v>0</v>
      </c>
      <c r="BJ681" s="46">
        <f>I681*J681</f>
        <v>0</v>
      </c>
      <c r="BK681" s="46"/>
      <c r="BL681" s="46">
        <v>45</v>
      </c>
    </row>
    <row r="682" spans="1:15" ht="15" customHeight="1">
      <c r="A682" s="10"/>
      <c r="D682" s="32" t="s">
        <v>649</v>
      </c>
      <c r="G682" s="32" t="s">
        <v>677</v>
      </c>
      <c r="I682" s="58">
        <v>0.05</v>
      </c>
      <c r="O682" s="30"/>
    </row>
    <row r="683" spans="1:47" ht="15" customHeight="1">
      <c r="A683" s="3" t="s">
        <v>1163</v>
      </c>
      <c r="B683" s="9" t="s">
        <v>1668</v>
      </c>
      <c r="C683" s="9" t="s">
        <v>1501</v>
      </c>
      <c r="D683" s="64" t="s">
        <v>1029</v>
      </c>
      <c r="E683" s="64"/>
      <c r="F683" s="64"/>
      <c r="G683" s="64"/>
      <c r="H683" s="41" t="s">
        <v>1537</v>
      </c>
      <c r="I683" s="41" t="s">
        <v>1537</v>
      </c>
      <c r="J683" s="41" t="s">
        <v>1537</v>
      </c>
      <c r="K683" s="50">
        <f>SUM(K684:K684)</f>
        <v>0</v>
      </c>
      <c r="L683" s="50">
        <f>SUM(L684:L684)</f>
        <v>0</v>
      </c>
      <c r="M683" s="50">
        <f>SUM(M684:M684)</f>
        <v>0</v>
      </c>
      <c r="N683" s="1" t="s">
        <v>1163</v>
      </c>
      <c r="O683" s="45" t="s">
        <v>1163</v>
      </c>
      <c r="AI683" s="1" t="s">
        <v>1668</v>
      </c>
      <c r="AS683" s="50">
        <f>SUM(AJ684:AJ684)</f>
        <v>0</v>
      </c>
      <c r="AT683" s="50">
        <f>SUM(AK684:AK684)</f>
        <v>0</v>
      </c>
      <c r="AU683" s="50">
        <f>SUM(AL684:AL684)</f>
        <v>0</v>
      </c>
    </row>
    <row r="684" spans="1:64" ht="15" customHeight="1">
      <c r="A684" s="52" t="s">
        <v>1880</v>
      </c>
      <c r="B684" s="43" t="s">
        <v>1668</v>
      </c>
      <c r="C684" s="43" t="s">
        <v>147</v>
      </c>
      <c r="D684" s="61" t="s">
        <v>1181</v>
      </c>
      <c r="E684" s="61"/>
      <c r="F684" s="61"/>
      <c r="G684" s="61"/>
      <c r="H684" s="43" t="s">
        <v>392</v>
      </c>
      <c r="I684" s="46">
        <v>47</v>
      </c>
      <c r="J684" s="46">
        <v>0</v>
      </c>
      <c r="K684" s="46">
        <f>I684*AO684</f>
        <v>0</v>
      </c>
      <c r="L684" s="46">
        <f>I684*AP684</f>
        <v>0</v>
      </c>
      <c r="M684" s="46">
        <f>I684*J684</f>
        <v>0</v>
      </c>
      <c r="N684" s="46">
        <v>0</v>
      </c>
      <c r="O684" s="6" t="s">
        <v>1149</v>
      </c>
      <c r="Z684" s="46">
        <f>IF(AQ684="5",BJ684,0)</f>
        <v>0</v>
      </c>
      <c r="AB684" s="46">
        <f>IF(AQ684="1",BH684,0)</f>
        <v>0</v>
      </c>
      <c r="AC684" s="46">
        <f>IF(AQ684="1",BI684,0)</f>
        <v>0</v>
      </c>
      <c r="AD684" s="46">
        <f>IF(AQ684="7",BH684,0)</f>
        <v>0</v>
      </c>
      <c r="AE684" s="46">
        <f>IF(AQ684="7",BI684,0)</f>
        <v>0</v>
      </c>
      <c r="AF684" s="46">
        <f>IF(AQ684="2",BH684,0)</f>
        <v>0</v>
      </c>
      <c r="AG684" s="46">
        <f>IF(AQ684="2",BI684,0)</f>
        <v>0</v>
      </c>
      <c r="AH684" s="46">
        <f>IF(AQ684="0",BJ684,0)</f>
        <v>0</v>
      </c>
      <c r="AI684" s="1" t="s">
        <v>1668</v>
      </c>
      <c r="AJ684" s="46">
        <f>IF(AN684=0,M684,0)</f>
        <v>0</v>
      </c>
      <c r="AK684" s="46">
        <f>IF(AN684=15,M684,0)</f>
        <v>0</v>
      </c>
      <c r="AL684" s="46">
        <f>IF(AN684=21,M684,0)</f>
        <v>0</v>
      </c>
      <c r="AN684" s="46">
        <v>21</v>
      </c>
      <c r="AO684" s="46">
        <f>J684*0</f>
        <v>0</v>
      </c>
      <c r="AP684" s="46">
        <f>J684*(1-0)</f>
        <v>0</v>
      </c>
      <c r="AQ684" s="42" t="s">
        <v>1653</v>
      </c>
      <c r="AV684" s="46">
        <f>AW684+AX684</f>
        <v>0</v>
      </c>
      <c r="AW684" s="46">
        <f>I684*AO684</f>
        <v>0</v>
      </c>
      <c r="AX684" s="46">
        <f>I684*AP684</f>
        <v>0</v>
      </c>
      <c r="AY684" s="42" t="s">
        <v>1067</v>
      </c>
      <c r="AZ684" s="42" t="s">
        <v>1775</v>
      </c>
      <c r="BA684" s="1" t="s">
        <v>172</v>
      </c>
      <c r="BC684" s="46">
        <f>AW684+AX684</f>
        <v>0</v>
      </c>
      <c r="BD684" s="46">
        <f>J684/(100-BE684)*100</f>
        <v>0</v>
      </c>
      <c r="BE684" s="46">
        <v>0</v>
      </c>
      <c r="BF684" s="46">
        <f>684</f>
        <v>684</v>
      </c>
      <c r="BH684" s="46">
        <f>I684*AO684</f>
        <v>0</v>
      </c>
      <c r="BI684" s="46">
        <f>I684*AP684</f>
        <v>0</v>
      </c>
      <c r="BJ684" s="46">
        <f>I684*J684</f>
        <v>0</v>
      </c>
      <c r="BK684" s="46"/>
      <c r="BL684" s="46">
        <v>722</v>
      </c>
    </row>
    <row r="685" spans="1:15" ht="15" customHeight="1">
      <c r="A685" s="10"/>
      <c r="D685" s="32" t="s">
        <v>554</v>
      </c>
      <c r="G685" s="32" t="s">
        <v>341</v>
      </c>
      <c r="I685" s="58">
        <v>47.00000000000001</v>
      </c>
      <c r="O685" s="30"/>
    </row>
    <row r="686" spans="1:15" ht="15" customHeight="1">
      <c r="A686" s="10"/>
      <c r="D686" s="32" t="s">
        <v>1163</v>
      </c>
      <c r="G686" s="32" t="s">
        <v>1755</v>
      </c>
      <c r="I686" s="58">
        <v>0</v>
      </c>
      <c r="O686" s="30"/>
    </row>
    <row r="687" spans="1:47" ht="15" customHeight="1">
      <c r="A687" s="3" t="s">
        <v>1163</v>
      </c>
      <c r="B687" s="9" t="s">
        <v>1668</v>
      </c>
      <c r="C687" s="9" t="s">
        <v>804</v>
      </c>
      <c r="D687" s="64" t="s">
        <v>736</v>
      </c>
      <c r="E687" s="64"/>
      <c r="F687" s="64"/>
      <c r="G687" s="64"/>
      <c r="H687" s="41" t="s">
        <v>1537</v>
      </c>
      <c r="I687" s="41" t="s">
        <v>1537</v>
      </c>
      <c r="J687" s="41" t="s">
        <v>1537</v>
      </c>
      <c r="K687" s="50">
        <f>SUM(K688:K699)</f>
        <v>0</v>
      </c>
      <c r="L687" s="50">
        <f>SUM(L688:L699)</f>
        <v>0</v>
      </c>
      <c r="M687" s="50">
        <f>SUM(M688:M699)</f>
        <v>0</v>
      </c>
      <c r="N687" s="1" t="s">
        <v>1163</v>
      </c>
      <c r="O687" s="45" t="s">
        <v>1163</v>
      </c>
      <c r="AI687" s="1" t="s">
        <v>1668</v>
      </c>
      <c r="AS687" s="50">
        <f>SUM(AJ688:AJ699)</f>
        <v>0</v>
      </c>
      <c r="AT687" s="50">
        <f>SUM(AK688:AK699)</f>
        <v>0</v>
      </c>
      <c r="AU687" s="50">
        <f>SUM(AL688:AL699)</f>
        <v>0</v>
      </c>
    </row>
    <row r="688" spans="1:64" ht="15" customHeight="1">
      <c r="A688" s="52" t="s">
        <v>1709</v>
      </c>
      <c r="B688" s="43" t="s">
        <v>1668</v>
      </c>
      <c r="C688" s="43" t="s">
        <v>764</v>
      </c>
      <c r="D688" s="61" t="s">
        <v>940</v>
      </c>
      <c r="E688" s="61"/>
      <c r="F688" s="61"/>
      <c r="G688" s="61"/>
      <c r="H688" s="43" t="s">
        <v>392</v>
      </c>
      <c r="I688" s="46">
        <v>2</v>
      </c>
      <c r="J688" s="46">
        <v>0</v>
      </c>
      <c r="K688" s="46">
        <f>I688*AO688</f>
        <v>0</v>
      </c>
      <c r="L688" s="46">
        <f>I688*AP688</f>
        <v>0</v>
      </c>
      <c r="M688" s="46">
        <f>I688*J688</f>
        <v>0</v>
      </c>
      <c r="N688" s="46">
        <v>0.00022</v>
      </c>
      <c r="O688" s="6" t="s">
        <v>1149</v>
      </c>
      <c r="Z688" s="46">
        <f>IF(AQ688="5",BJ688,0)</f>
        <v>0</v>
      </c>
      <c r="AB688" s="46">
        <f>IF(AQ688="1",BH688,0)</f>
        <v>0</v>
      </c>
      <c r="AC688" s="46">
        <f>IF(AQ688="1",BI688,0)</f>
        <v>0</v>
      </c>
      <c r="AD688" s="46">
        <f>IF(AQ688="7",BH688,0)</f>
        <v>0</v>
      </c>
      <c r="AE688" s="46">
        <f>IF(AQ688="7",BI688,0)</f>
        <v>0</v>
      </c>
      <c r="AF688" s="46">
        <f>IF(AQ688="2",BH688,0)</f>
        <v>0</v>
      </c>
      <c r="AG688" s="46">
        <f>IF(AQ688="2",BI688,0)</f>
        <v>0</v>
      </c>
      <c r="AH688" s="46">
        <f>IF(AQ688="0",BJ688,0)</f>
        <v>0</v>
      </c>
      <c r="AI688" s="1" t="s">
        <v>1668</v>
      </c>
      <c r="AJ688" s="46">
        <f>IF(AN688=0,M688,0)</f>
        <v>0</v>
      </c>
      <c r="AK688" s="46">
        <f>IF(AN688=15,M688,0)</f>
        <v>0</v>
      </c>
      <c r="AL688" s="46">
        <f>IF(AN688=21,M688,0)</f>
        <v>0</v>
      </c>
      <c r="AN688" s="46">
        <v>21</v>
      </c>
      <c r="AO688" s="46">
        <f>J688*0.225335234199054</f>
        <v>0</v>
      </c>
      <c r="AP688" s="46">
        <f>J688*(1-0.225335234199054)</f>
        <v>0</v>
      </c>
      <c r="AQ688" s="42" t="s">
        <v>1648</v>
      </c>
      <c r="AV688" s="46">
        <f>AW688+AX688</f>
        <v>0</v>
      </c>
      <c r="AW688" s="46">
        <f>I688*AO688</f>
        <v>0</v>
      </c>
      <c r="AX688" s="46">
        <f>I688*AP688</f>
        <v>0</v>
      </c>
      <c r="AY688" s="42" t="s">
        <v>1437</v>
      </c>
      <c r="AZ688" s="42" t="s">
        <v>190</v>
      </c>
      <c r="BA688" s="1" t="s">
        <v>172</v>
      </c>
      <c r="BC688" s="46">
        <f>AW688+AX688</f>
        <v>0</v>
      </c>
      <c r="BD688" s="46">
        <f>J688/(100-BE688)*100</f>
        <v>0</v>
      </c>
      <c r="BE688" s="46">
        <v>0</v>
      </c>
      <c r="BF688" s="46">
        <f>688</f>
        <v>688</v>
      </c>
      <c r="BH688" s="46">
        <f>I688*AO688</f>
        <v>0</v>
      </c>
      <c r="BI688" s="46">
        <f>I688*AP688</f>
        <v>0</v>
      </c>
      <c r="BJ688" s="46">
        <f>I688*J688</f>
        <v>0</v>
      </c>
      <c r="BK688" s="46"/>
      <c r="BL688" s="46">
        <v>85</v>
      </c>
    </row>
    <row r="689" spans="1:15" ht="15" customHeight="1">
      <c r="A689" s="10"/>
      <c r="D689" s="32" t="s">
        <v>1157</v>
      </c>
      <c r="G689" s="32" t="s">
        <v>625</v>
      </c>
      <c r="I689" s="58">
        <v>2</v>
      </c>
      <c r="O689" s="30"/>
    </row>
    <row r="690" spans="1:64" ht="15" customHeight="1">
      <c r="A690" s="52" t="s">
        <v>763</v>
      </c>
      <c r="B690" s="43" t="s">
        <v>1668</v>
      </c>
      <c r="C690" s="43" t="s">
        <v>1349</v>
      </c>
      <c r="D690" s="61" t="s">
        <v>5</v>
      </c>
      <c r="E690" s="61"/>
      <c r="F690" s="61"/>
      <c r="G690" s="61"/>
      <c r="H690" s="43" t="s">
        <v>392</v>
      </c>
      <c r="I690" s="46">
        <v>4</v>
      </c>
      <c r="J690" s="46">
        <v>0</v>
      </c>
      <c r="K690" s="46">
        <f>I690*AO690</f>
        <v>0</v>
      </c>
      <c r="L690" s="46">
        <f>I690*AP690</f>
        <v>0</v>
      </c>
      <c r="M690" s="46">
        <f>I690*J690</f>
        <v>0</v>
      </c>
      <c r="N690" s="46">
        <v>0.00062</v>
      </c>
      <c r="O690" s="6" t="s">
        <v>1149</v>
      </c>
      <c r="Z690" s="46">
        <f>IF(AQ690="5",BJ690,0)</f>
        <v>0</v>
      </c>
      <c r="AB690" s="46">
        <f>IF(AQ690="1",BH690,0)</f>
        <v>0</v>
      </c>
      <c r="AC690" s="46">
        <f>IF(AQ690="1",BI690,0)</f>
        <v>0</v>
      </c>
      <c r="AD690" s="46">
        <f>IF(AQ690="7",BH690,0)</f>
        <v>0</v>
      </c>
      <c r="AE690" s="46">
        <f>IF(AQ690="7",BI690,0)</f>
        <v>0</v>
      </c>
      <c r="AF690" s="46">
        <f>IF(AQ690="2",BH690,0)</f>
        <v>0</v>
      </c>
      <c r="AG690" s="46">
        <f>IF(AQ690="2",BI690,0)</f>
        <v>0</v>
      </c>
      <c r="AH690" s="46">
        <f>IF(AQ690="0",BJ690,0)</f>
        <v>0</v>
      </c>
      <c r="AI690" s="1" t="s">
        <v>1668</v>
      </c>
      <c r="AJ690" s="46">
        <f>IF(AN690=0,M690,0)</f>
        <v>0</v>
      </c>
      <c r="AK690" s="46">
        <f>IF(AN690=15,M690,0)</f>
        <v>0</v>
      </c>
      <c r="AL690" s="46">
        <f>IF(AN690=21,M690,0)</f>
        <v>0</v>
      </c>
      <c r="AN690" s="46">
        <v>21</v>
      </c>
      <c r="AO690" s="46">
        <f>J690*0.331530944625407</f>
        <v>0</v>
      </c>
      <c r="AP690" s="46">
        <f>J690*(1-0.331530944625407)</f>
        <v>0</v>
      </c>
      <c r="AQ690" s="42" t="s">
        <v>1648</v>
      </c>
      <c r="AV690" s="46">
        <f>AW690+AX690</f>
        <v>0</v>
      </c>
      <c r="AW690" s="46">
        <f>I690*AO690</f>
        <v>0</v>
      </c>
      <c r="AX690" s="46">
        <f>I690*AP690</f>
        <v>0</v>
      </c>
      <c r="AY690" s="42" t="s">
        <v>1437</v>
      </c>
      <c r="AZ690" s="42" t="s">
        <v>190</v>
      </c>
      <c r="BA690" s="1" t="s">
        <v>172</v>
      </c>
      <c r="BC690" s="46">
        <f>AW690+AX690</f>
        <v>0</v>
      </c>
      <c r="BD690" s="46">
        <f>J690/(100-BE690)*100</f>
        <v>0</v>
      </c>
      <c r="BE690" s="46">
        <v>0</v>
      </c>
      <c r="BF690" s="46">
        <f>690</f>
        <v>690</v>
      </c>
      <c r="BH690" s="46">
        <f>I690*AO690</f>
        <v>0</v>
      </c>
      <c r="BI690" s="46">
        <f>I690*AP690</f>
        <v>0</v>
      </c>
      <c r="BJ690" s="46">
        <f>I690*J690</f>
        <v>0</v>
      </c>
      <c r="BK690" s="46"/>
      <c r="BL690" s="46">
        <v>85</v>
      </c>
    </row>
    <row r="691" spans="1:64" ht="15" customHeight="1">
      <c r="A691" s="52" t="s">
        <v>1465</v>
      </c>
      <c r="B691" s="43" t="s">
        <v>1668</v>
      </c>
      <c r="C691" s="43" t="s">
        <v>1639</v>
      </c>
      <c r="D691" s="61" t="s">
        <v>791</v>
      </c>
      <c r="E691" s="61"/>
      <c r="F691" s="61"/>
      <c r="G691" s="61"/>
      <c r="H691" s="43" t="s">
        <v>392</v>
      </c>
      <c r="I691" s="46">
        <v>2</v>
      </c>
      <c r="J691" s="46">
        <v>0</v>
      </c>
      <c r="K691" s="46">
        <f>I691*AO691</f>
        <v>0</v>
      </c>
      <c r="L691" s="46">
        <f>I691*AP691</f>
        <v>0</v>
      </c>
      <c r="M691" s="46">
        <f>I691*J691</f>
        <v>0</v>
      </c>
      <c r="N691" s="46">
        <v>0.015</v>
      </c>
      <c r="O691" s="6" t="s">
        <v>1149</v>
      </c>
      <c r="Z691" s="46">
        <f>IF(AQ691="5",BJ691,0)</f>
        <v>0</v>
      </c>
      <c r="AB691" s="46">
        <f>IF(AQ691="1",BH691,0)</f>
        <v>0</v>
      </c>
      <c r="AC691" s="46">
        <f>IF(AQ691="1",BI691,0)</f>
        <v>0</v>
      </c>
      <c r="AD691" s="46">
        <f>IF(AQ691="7",BH691,0)</f>
        <v>0</v>
      </c>
      <c r="AE691" s="46">
        <f>IF(AQ691="7",BI691,0)</f>
        <v>0</v>
      </c>
      <c r="AF691" s="46">
        <f>IF(AQ691="2",BH691,0)</f>
        <v>0</v>
      </c>
      <c r="AG691" s="46">
        <f>IF(AQ691="2",BI691,0)</f>
        <v>0</v>
      </c>
      <c r="AH691" s="46">
        <f>IF(AQ691="0",BJ691,0)</f>
        <v>0</v>
      </c>
      <c r="AI691" s="1" t="s">
        <v>1668</v>
      </c>
      <c r="AJ691" s="46">
        <f>IF(AN691=0,M691,0)</f>
        <v>0</v>
      </c>
      <c r="AK691" s="46">
        <f>IF(AN691=15,M691,0)</f>
        <v>0</v>
      </c>
      <c r="AL691" s="46">
        <f>IF(AN691=21,M691,0)</f>
        <v>0</v>
      </c>
      <c r="AN691" s="46">
        <v>21</v>
      </c>
      <c r="AO691" s="46">
        <f>J691*1</f>
        <v>0</v>
      </c>
      <c r="AP691" s="46">
        <f>J691*(1-1)</f>
        <v>0</v>
      </c>
      <c r="AQ691" s="42" t="s">
        <v>1648</v>
      </c>
      <c r="AV691" s="46">
        <f>AW691+AX691</f>
        <v>0</v>
      </c>
      <c r="AW691" s="46">
        <f>I691*AO691</f>
        <v>0</v>
      </c>
      <c r="AX691" s="46">
        <f>I691*AP691</f>
        <v>0</v>
      </c>
      <c r="AY691" s="42" t="s">
        <v>1437</v>
      </c>
      <c r="AZ691" s="42" t="s">
        <v>190</v>
      </c>
      <c r="BA691" s="1" t="s">
        <v>172</v>
      </c>
      <c r="BC691" s="46">
        <f>AW691+AX691</f>
        <v>0</v>
      </c>
      <c r="BD691" s="46">
        <f>J691/(100-BE691)*100</f>
        <v>0</v>
      </c>
      <c r="BE691" s="46">
        <v>0</v>
      </c>
      <c r="BF691" s="46">
        <f>691</f>
        <v>691</v>
      </c>
      <c r="BH691" s="46">
        <f>I691*AO691</f>
        <v>0</v>
      </c>
      <c r="BI691" s="46">
        <f>I691*AP691</f>
        <v>0</v>
      </c>
      <c r="BJ691" s="46">
        <f>I691*J691</f>
        <v>0</v>
      </c>
      <c r="BK691" s="46"/>
      <c r="BL691" s="46">
        <v>85</v>
      </c>
    </row>
    <row r="692" spans="1:15" ht="15" customHeight="1">
      <c r="A692" s="10"/>
      <c r="D692" s="32" t="s">
        <v>1157</v>
      </c>
      <c r="G692" s="32" t="s">
        <v>1297</v>
      </c>
      <c r="I692" s="58">
        <v>2</v>
      </c>
      <c r="O692" s="30"/>
    </row>
    <row r="693" spans="1:64" ht="15" customHeight="1">
      <c r="A693" s="52" t="s">
        <v>18</v>
      </c>
      <c r="B693" s="43" t="s">
        <v>1668</v>
      </c>
      <c r="C693" s="43" t="s">
        <v>934</v>
      </c>
      <c r="D693" s="61" t="s">
        <v>1264</v>
      </c>
      <c r="E693" s="61"/>
      <c r="F693" s="61"/>
      <c r="G693" s="61"/>
      <c r="H693" s="43" t="s">
        <v>392</v>
      </c>
      <c r="I693" s="46">
        <v>2</v>
      </c>
      <c r="J693" s="46">
        <v>0</v>
      </c>
      <c r="K693" s="46">
        <f>I693*AO693</f>
        <v>0</v>
      </c>
      <c r="L693" s="46">
        <f>I693*AP693</f>
        <v>0</v>
      </c>
      <c r="M693" s="46">
        <f>I693*J693</f>
        <v>0</v>
      </c>
      <c r="N693" s="46">
        <v>0.019</v>
      </c>
      <c r="O693" s="6" t="s">
        <v>1149</v>
      </c>
      <c r="Z693" s="46">
        <f>IF(AQ693="5",BJ693,0)</f>
        <v>0</v>
      </c>
      <c r="AB693" s="46">
        <f>IF(AQ693="1",BH693,0)</f>
        <v>0</v>
      </c>
      <c r="AC693" s="46">
        <f>IF(AQ693="1",BI693,0)</f>
        <v>0</v>
      </c>
      <c r="AD693" s="46">
        <f>IF(AQ693="7",BH693,0)</f>
        <v>0</v>
      </c>
      <c r="AE693" s="46">
        <f>IF(AQ693="7",BI693,0)</f>
        <v>0</v>
      </c>
      <c r="AF693" s="46">
        <f>IF(AQ693="2",BH693,0)</f>
        <v>0</v>
      </c>
      <c r="AG693" s="46">
        <f>IF(AQ693="2",BI693,0)</f>
        <v>0</v>
      </c>
      <c r="AH693" s="46">
        <f>IF(AQ693="0",BJ693,0)</f>
        <v>0</v>
      </c>
      <c r="AI693" s="1" t="s">
        <v>1668</v>
      </c>
      <c r="AJ693" s="46">
        <f>IF(AN693=0,M693,0)</f>
        <v>0</v>
      </c>
      <c r="AK693" s="46">
        <f>IF(AN693=15,M693,0)</f>
        <v>0</v>
      </c>
      <c r="AL693" s="46">
        <f>IF(AN693=21,M693,0)</f>
        <v>0</v>
      </c>
      <c r="AN693" s="46">
        <v>21</v>
      </c>
      <c r="AO693" s="46">
        <f>J693*1</f>
        <v>0</v>
      </c>
      <c r="AP693" s="46">
        <f>J693*(1-1)</f>
        <v>0</v>
      </c>
      <c r="AQ693" s="42" t="s">
        <v>1648</v>
      </c>
      <c r="AV693" s="46">
        <f>AW693+AX693</f>
        <v>0</v>
      </c>
      <c r="AW693" s="46">
        <f>I693*AO693</f>
        <v>0</v>
      </c>
      <c r="AX693" s="46">
        <f>I693*AP693</f>
        <v>0</v>
      </c>
      <c r="AY693" s="42" t="s">
        <v>1437</v>
      </c>
      <c r="AZ693" s="42" t="s">
        <v>190</v>
      </c>
      <c r="BA693" s="1" t="s">
        <v>172</v>
      </c>
      <c r="BC693" s="46">
        <f>AW693+AX693</f>
        <v>0</v>
      </c>
      <c r="BD693" s="46">
        <f>J693/(100-BE693)*100</f>
        <v>0</v>
      </c>
      <c r="BE693" s="46">
        <v>0</v>
      </c>
      <c r="BF693" s="46">
        <f>693</f>
        <v>693</v>
      </c>
      <c r="BH693" s="46">
        <f>I693*AO693</f>
        <v>0</v>
      </c>
      <c r="BI693" s="46">
        <f>I693*AP693</f>
        <v>0</v>
      </c>
      <c r="BJ693" s="46">
        <f>I693*J693</f>
        <v>0</v>
      </c>
      <c r="BK693" s="46"/>
      <c r="BL693" s="46">
        <v>85</v>
      </c>
    </row>
    <row r="694" spans="1:64" ht="15" customHeight="1">
      <c r="A694" s="52" t="s">
        <v>1252</v>
      </c>
      <c r="B694" s="43" t="s">
        <v>1668</v>
      </c>
      <c r="C694" s="43" t="s">
        <v>1851</v>
      </c>
      <c r="D694" s="61" t="s">
        <v>1373</v>
      </c>
      <c r="E694" s="61"/>
      <c r="F694" s="61"/>
      <c r="G694" s="61"/>
      <c r="H694" s="43" t="s">
        <v>392</v>
      </c>
      <c r="I694" s="46">
        <v>10</v>
      </c>
      <c r="J694" s="46">
        <v>0</v>
      </c>
      <c r="K694" s="46">
        <f>I694*AO694</f>
        <v>0</v>
      </c>
      <c r="L694" s="46">
        <f>I694*AP694</f>
        <v>0</v>
      </c>
      <c r="M694" s="46">
        <f>I694*J694</f>
        <v>0</v>
      </c>
      <c r="N694" s="46">
        <v>0.00041</v>
      </c>
      <c r="O694" s="6" t="s">
        <v>1149</v>
      </c>
      <c r="Z694" s="46">
        <f>IF(AQ694="5",BJ694,0)</f>
        <v>0</v>
      </c>
      <c r="AB694" s="46">
        <f>IF(AQ694="1",BH694,0)</f>
        <v>0</v>
      </c>
      <c r="AC694" s="46">
        <f>IF(AQ694="1",BI694,0)</f>
        <v>0</v>
      </c>
      <c r="AD694" s="46">
        <f>IF(AQ694="7",BH694,0)</f>
        <v>0</v>
      </c>
      <c r="AE694" s="46">
        <f>IF(AQ694="7",BI694,0)</f>
        <v>0</v>
      </c>
      <c r="AF694" s="46">
        <f>IF(AQ694="2",BH694,0)</f>
        <v>0</v>
      </c>
      <c r="AG694" s="46">
        <f>IF(AQ694="2",BI694,0)</f>
        <v>0</v>
      </c>
      <c r="AH694" s="46">
        <f>IF(AQ694="0",BJ694,0)</f>
        <v>0</v>
      </c>
      <c r="AI694" s="1" t="s">
        <v>1668</v>
      </c>
      <c r="AJ694" s="46">
        <f>IF(AN694=0,M694,0)</f>
        <v>0</v>
      </c>
      <c r="AK694" s="46">
        <f>IF(AN694=15,M694,0)</f>
        <v>0</v>
      </c>
      <c r="AL694" s="46">
        <f>IF(AN694=21,M694,0)</f>
        <v>0</v>
      </c>
      <c r="AN694" s="46">
        <v>21</v>
      </c>
      <c r="AO694" s="46">
        <f>J694*0.324068636010095</f>
        <v>0</v>
      </c>
      <c r="AP694" s="46">
        <f>J694*(1-0.324068636010095)</f>
        <v>0</v>
      </c>
      <c r="AQ694" s="42" t="s">
        <v>1648</v>
      </c>
      <c r="AV694" s="46">
        <f>AW694+AX694</f>
        <v>0</v>
      </c>
      <c r="AW694" s="46">
        <f>I694*AO694</f>
        <v>0</v>
      </c>
      <c r="AX694" s="46">
        <f>I694*AP694</f>
        <v>0</v>
      </c>
      <c r="AY694" s="42" t="s">
        <v>1437</v>
      </c>
      <c r="AZ694" s="42" t="s">
        <v>190</v>
      </c>
      <c r="BA694" s="1" t="s">
        <v>172</v>
      </c>
      <c r="BC694" s="46">
        <f>AW694+AX694</f>
        <v>0</v>
      </c>
      <c r="BD694" s="46">
        <f>J694/(100-BE694)*100</f>
        <v>0</v>
      </c>
      <c r="BE694" s="46">
        <v>0</v>
      </c>
      <c r="BF694" s="46">
        <f>694</f>
        <v>694</v>
      </c>
      <c r="BH694" s="46">
        <f>I694*AO694</f>
        <v>0</v>
      </c>
      <c r="BI694" s="46">
        <f>I694*AP694</f>
        <v>0</v>
      </c>
      <c r="BJ694" s="46">
        <f>I694*J694</f>
        <v>0</v>
      </c>
      <c r="BK694" s="46"/>
      <c r="BL694" s="46">
        <v>85</v>
      </c>
    </row>
    <row r="695" spans="1:15" ht="15" customHeight="1">
      <c r="A695" s="10"/>
      <c r="D695" s="32" t="s">
        <v>243</v>
      </c>
      <c r="G695" s="32" t="s">
        <v>1163</v>
      </c>
      <c r="I695" s="58">
        <v>10</v>
      </c>
      <c r="O695" s="30"/>
    </row>
    <row r="696" spans="1:64" ht="15" customHeight="1">
      <c r="A696" s="52" t="s">
        <v>938</v>
      </c>
      <c r="B696" s="43" t="s">
        <v>1668</v>
      </c>
      <c r="C696" s="43" t="s">
        <v>1647</v>
      </c>
      <c r="D696" s="61" t="s">
        <v>1474</v>
      </c>
      <c r="E696" s="61"/>
      <c r="F696" s="61"/>
      <c r="G696" s="61"/>
      <c r="H696" s="43" t="s">
        <v>392</v>
      </c>
      <c r="I696" s="46">
        <v>6</v>
      </c>
      <c r="J696" s="46">
        <v>0</v>
      </c>
      <c r="K696" s="46">
        <f>I696*AO696</f>
        <v>0</v>
      </c>
      <c r="L696" s="46">
        <f>I696*AP696</f>
        <v>0</v>
      </c>
      <c r="M696" s="46">
        <f>I696*J696</f>
        <v>0</v>
      </c>
      <c r="N696" s="46">
        <v>0.0108</v>
      </c>
      <c r="O696" s="6" t="s">
        <v>1149</v>
      </c>
      <c r="Z696" s="46">
        <f>IF(AQ696="5",BJ696,0)</f>
        <v>0</v>
      </c>
      <c r="AB696" s="46">
        <f>IF(AQ696="1",BH696,0)</f>
        <v>0</v>
      </c>
      <c r="AC696" s="46">
        <f>IF(AQ696="1",BI696,0)</f>
        <v>0</v>
      </c>
      <c r="AD696" s="46">
        <f>IF(AQ696="7",BH696,0)</f>
        <v>0</v>
      </c>
      <c r="AE696" s="46">
        <f>IF(AQ696="7",BI696,0)</f>
        <v>0</v>
      </c>
      <c r="AF696" s="46">
        <f>IF(AQ696="2",BH696,0)</f>
        <v>0</v>
      </c>
      <c r="AG696" s="46">
        <f>IF(AQ696="2",BI696,0)</f>
        <v>0</v>
      </c>
      <c r="AH696" s="46">
        <f>IF(AQ696="0",BJ696,0)</f>
        <v>0</v>
      </c>
      <c r="AI696" s="1" t="s">
        <v>1668</v>
      </c>
      <c r="AJ696" s="46">
        <f>IF(AN696=0,M696,0)</f>
        <v>0</v>
      </c>
      <c r="AK696" s="46">
        <f>IF(AN696=15,M696,0)</f>
        <v>0</v>
      </c>
      <c r="AL696" s="46">
        <f>IF(AN696=21,M696,0)</f>
        <v>0</v>
      </c>
      <c r="AN696" s="46">
        <v>21</v>
      </c>
      <c r="AO696" s="46">
        <f>J696*1</f>
        <v>0</v>
      </c>
      <c r="AP696" s="46">
        <f>J696*(1-1)</f>
        <v>0</v>
      </c>
      <c r="AQ696" s="42" t="s">
        <v>1648</v>
      </c>
      <c r="AV696" s="46">
        <f>AW696+AX696</f>
        <v>0</v>
      </c>
      <c r="AW696" s="46">
        <f>I696*AO696</f>
        <v>0</v>
      </c>
      <c r="AX696" s="46">
        <f>I696*AP696</f>
        <v>0</v>
      </c>
      <c r="AY696" s="42" t="s">
        <v>1437</v>
      </c>
      <c r="AZ696" s="42" t="s">
        <v>190</v>
      </c>
      <c r="BA696" s="1" t="s">
        <v>172</v>
      </c>
      <c r="BC696" s="46">
        <f>AW696+AX696</f>
        <v>0</v>
      </c>
      <c r="BD696" s="46">
        <f>J696/(100-BE696)*100</f>
        <v>0</v>
      </c>
      <c r="BE696" s="46">
        <v>0</v>
      </c>
      <c r="BF696" s="46">
        <f>696</f>
        <v>696</v>
      </c>
      <c r="BH696" s="46">
        <f>I696*AO696</f>
        <v>0</v>
      </c>
      <c r="BI696" s="46">
        <f>I696*AP696</f>
        <v>0</v>
      </c>
      <c r="BJ696" s="46">
        <f>I696*J696</f>
        <v>0</v>
      </c>
      <c r="BK696" s="46"/>
      <c r="BL696" s="46">
        <v>85</v>
      </c>
    </row>
    <row r="697" spans="1:64" ht="15" customHeight="1">
      <c r="A697" s="52" t="s">
        <v>1417</v>
      </c>
      <c r="B697" s="43" t="s">
        <v>1668</v>
      </c>
      <c r="C697" s="43" t="s">
        <v>1602</v>
      </c>
      <c r="D697" s="61" t="s">
        <v>1201</v>
      </c>
      <c r="E697" s="61"/>
      <c r="F697" s="61"/>
      <c r="G697" s="61"/>
      <c r="H697" s="43" t="s">
        <v>392</v>
      </c>
      <c r="I697" s="46">
        <v>1</v>
      </c>
      <c r="J697" s="46">
        <v>0</v>
      </c>
      <c r="K697" s="46">
        <f>I697*AO697</f>
        <v>0</v>
      </c>
      <c r="L697" s="46">
        <f>I697*AP697</f>
        <v>0</v>
      </c>
      <c r="M697" s="46">
        <f>I697*J697</f>
        <v>0</v>
      </c>
      <c r="N697" s="46">
        <v>0.0126</v>
      </c>
      <c r="O697" s="6" t="s">
        <v>1149</v>
      </c>
      <c r="Z697" s="46">
        <f>IF(AQ697="5",BJ697,0)</f>
        <v>0</v>
      </c>
      <c r="AB697" s="46">
        <f>IF(AQ697="1",BH697,0)</f>
        <v>0</v>
      </c>
      <c r="AC697" s="46">
        <f>IF(AQ697="1",BI697,0)</f>
        <v>0</v>
      </c>
      <c r="AD697" s="46">
        <f>IF(AQ697="7",BH697,0)</f>
        <v>0</v>
      </c>
      <c r="AE697" s="46">
        <f>IF(AQ697="7",BI697,0)</f>
        <v>0</v>
      </c>
      <c r="AF697" s="46">
        <f>IF(AQ697="2",BH697,0)</f>
        <v>0</v>
      </c>
      <c r="AG697" s="46">
        <f>IF(AQ697="2",BI697,0)</f>
        <v>0</v>
      </c>
      <c r="AH697" s="46">
        <f>IF(AQ697="0",BJ697,0)</f>
        <v>0</v>
      </c>
      <c r="AI697" s="1" t="s">
        <v>1668</v>
      </c>
      <c r="AJ697" s="46">
        <f>IF(AN697=0,M697,0)</f>
        <v>0</v>
      </c>
      <c r="AK697" s="46">
        <f>IF(AN697=15,M697,0)</f>
        <v>0</v>
      </c>
      <c r="AL697" s="46">
        <f>IF(AN697=21,M697,0)</f>
        <v>0</v>
      </c>
      <c r="AN697" s="46">
        <v>21</v>
      </c>
      <c r="AO697" s="46">
        <f>J697*1</f>
        <v>0</v>
      </c>
      <c r="AP697" s="46">
        <f>J697*(1-1)</f>
        <v>0</v>
      </c>
      <c r="AQ697" s="42" t="s">
        <v>1648</v>
      </c>
      <c r="AV697" s="46">
        <f>AW697+AX697</f>
        <v>0</v>
      </c>
      <c r="AW697" s="46">
        <f>I697*AO697</f>
        <v>0</v>
      </c>
      <c r="AX697" s="46">
        <f>I697*AP697</f>
        <v>0</v>
      </c>
      <c r="AY697" s="42" t="s">
        <v>1437</v>
      </c>
      <c r="AZ697" s="42" t="s">
        <v>190</v>
      </c>
      <c r="BA697" s="1" t="s">
        <v>172</v>
      </c>
      <c r="BC697" s="46">
        <f>AW697+AX697</f>
        <v>0</v>
      </c>
      <c r="BD697" s="46">
        <f>J697/(100-BE697)*100</f>
        <v>0</v>
      </c>
      <c r="BE697" s="46">
        <v>0</v>
      </c>
      <c r="BF697" s="46">
        <f>697</f>
        <v>697</v>
      </c>
      <c r="BH697" s="46">
        <f>I697*AO697</f>
        <v>0</v>
      </c>
      <c r="BI697" s="46">
        <f>I697*AP697</f>
        <v>0</v>
      </c>
      <c r="BJ697" s="46">
        <f>I697*J697</f>
        <v>0</v>
      </c>
      <c r="BK697" s="46"/>
      <c r="BL697" s="46">
        <v>85</v>
      </c>
    </row>
    <row r="698" spans="1:15" ht="15" customHeight="1">
      <c r="A698" s="10"/>
      <c r="D698" s="32" t="s">
        <v>1648</v>
      </c>
      <c r="G698" s="32" t="s">
        <v>65</v>
      </c>
      <c r="I698" s="58">
        <v>1</v>
      </c>
      <c r="O698" s="30"/>
    </row>
    <row r="699" spans="1:64" ht="15" customHeight="1">
      <c r="A699" s="52" t="s">
        <v>1840</v>
      </c>
      <c r="B699" s="43" t="s">
        <v>1668</v>
      </c>
      <c r="C699" s="43" t="s">
        <v>813</v>
      </c>
      <c r="D699" s="61" t="s">
        <v>1052</v>
      </c>
      <c r="E699" s="61"/>
      <c r="F699" s="61"/>
      <c r="G699" s="61"/>
      <c r="H699" s="43" t="s">
        <v>392</v>
      </c>
      <c r="I699" s="46">
        <v>3</v>
      </c>
      <c r="J699" s="46">
        <v>0</v>
      </c>
      <c r="K699" s="46">
        <f>I699*AO699</f>
        <v>0</v>
      </c>
      <c r="L699" s="46">
        <f>I699*AP699</f>
        <v>0</v>
      </c>
      <c r="M699" s="46">
        <f>I699*J699</f>
        <v>0</v>
      </c>
      <c r="N699" s="46">
        <v>0.0125</v>
      </c>
      <c r="O699" s="6" t="s">
        <v>1149</v>
      </c>
      <c r="Z699" s="46">
        <f>IF(AQ699="5",BJ699,0)</f>
        <v>0</v>
      </c>
      <c r="AB699" s="46">
        <f>IF(AQ699="1",BH699,0)</f>
        <v>0</v>
      </c>
      <c r="AC699" s="46">
        <f>IF(AQ699="1",BI699,0)</f>
        <v>0</v>
      </c>
      <c r="AD699" s="46">
        <f>IF(AQ699="7",BH699,0)</f>
        <v>0</v>
      </c>
      <c r="AE699" s="46">
        <f>IF(AQ699="7",BI699,0)</f>
        <v>0</v>
      </c>
      <c r="AF699" s="46">
        <f>IF(AQ699="2",BH699,0)</f>
        <v>0</v>
      </c>
      <c r="AG699" s="46">
        <f>IF(AQ699="2",BI699,0)</f>
        <v>0</v>
      </c>
      <c r="AH699" s="46">
        <f>IF(AQ699="0",BJ699,0)</f>
        <v>0</v>
      </c>
      <c r="AI699" s="1" t="s">
        <v>1668</v>
      </c>
      <c r="AJ699" s="46">
        <f>IF(AN699=0,M699,0)</f>
        <v>0</v>
      </c>
      <c r="AK699" s="46">
        <f>IF(AN699=15,M699,0)</f>
        <v>0</v>
      </c>
      <c r="AL699" s="46">
        <f>IF(AN699=21,M699,0)</f>
        <v>0</v>
      </c>
      <c r="AN699" s="46">
        <v>21</v>
      </c>
      <c r="AO699" s="46">
        <f>J699*1</f>
        <v>0</v>
      </c>
      <c r="AP699" s="46">
        <f>J699*(1-1)</f>
        <v>0</v>
      </c>
      <c r="AQ699" s="42" t="s">
        <v>1648</v>
      </c>
      <c r="AV699" s="46">
        <f>AW699+AX699</f>
        <v>0</v>
      </c>
      <c r="AW699" s="46">
        <f>I699*AO699</f>
        <v>0</v>
      </c>
      <c r="AX699" s="46">
        <f>I699*AP699</f>
        <v>0</v>
      </c>
      <c r="AY699" s="42" t="s">
        <v>1437</v>
      </c>
      <c r="AZ699" s="42" t="s">
        <v>190</v>
      </c>
      <c r="BA699" s="1" t="s">
        <v>172</v>
      </c>
      <c r="BC699" s="46">
        <f>AW699+AX699</f>
        <v>0</v>
      </c>
      <c r="BD699" s="46">
        <f>J699/(100-BE699)*100</f>
        <v>0</v>
      </c>
      <c r="BE699" s="46">
        <v>0</v>
      </c>
      <c r="BF699" s="46">
        <f>699</f>
        <v>699</v>
      </c>
      <c r="BH699" s="46">
        <f>I699*AO699</f>
        <v>0</v>
      </c>
      <c r="BI699" s="46">
        <f>I699*AP699</f>
        <v>0</v>
      </c>
      <c r="BJ699" s="46">
        <f>I699*J699</f>
        <v>0</v>
      </c>
      <c r="BK699" s="46"/>
      <c r="BL699" s="46">
        <v>85</v>
      </c>
    </row>
    <row r="700" spans="1:47" ht="15" customHeight="1">
      <c r="A700" s="3" t="s">
        <v>1163</v>
      </c>
      <c r="B700" s="9" t="s">
        <v>1668</v>
      </c>
      <c r="C700" s="9" t="s">
        <v>76</v>
      </c>
      <c r="D700" s="64" t="s">
        <v>124</v>
      </c>
      <c r="E700" s="64"/>
      <c r="F700" s="64"/>
      <c r="G700" s="64"/>
      <c r="H700" s="41" t="s">
        <v>1537</v>
      </c>
      <c r="I700" s="41" t="s">
        <v>1537</v>
      </c>
      <c r="J700" s="41" t="s">
        <v>1537</v>
      </c>
      <c r="K700" s="50">
        <f>SUM(K701:K709)</f>
        <v>0</v>
      </c>
      <c r="L700" s="50">
        <f>SUM(L701:L709)</f>
        <v>0</v>
      </c>
      <c r="M700" s="50">
        <f>SUM(M701:M709)</f>
        <v>0</v>
      </c>
      <c r="N700" s="1" t="s">
        <v>1163</v>
      </c>
      <c r="O700" s="45" t="s">
        <v>1163</v>
      </c>
      <c r="AI700" s="1" t="s">
        <v>1668</v>
      </c>
      <c r="AS700" s="50">
        <f>SUM(AJ701:AJ709)</f>
        <v>0</v>
      </c>
      <c r="AT700" s="50">
        <f>SUM(AK701:AK709)</f>
        <v>0</v>
      </c>
      <c r="AU700" s="50">
        <f>SUM(AL701:AL709)</f>
        <v>0</v>
      </c>
    </row>
    <row r="701" spans="1:64" ht="15" customHeight="1">
      <c r="A701" s="52" t="s">
        <v>935</v>
      </c>
      <c r="B701" s="43" t="s">
        <v>1668</v>
      </c>
      <c r="C701" s="43" t="s">
        <v>1112</v>
      </c>
      <c r="D701" s="61" t="s">
        <v>1064</v>
      </c>
      <c r="E701" s="61"/>
      <c r="F701" s="61"/>
      <c r="G701" s="61"/>
      <c r="H701" s="43" t="s">
        <v>1365</v>
      </c>
      <c r="I701" s="46">
        <v>439.1</v>
      </c>
      <c r="J701" s="46">
        <v>0</v>
      </c>
      <c r="K701" s="46">
        <f>I701*AO701</f>
        <v>0</v>
      </c>
      <c r="L701" s="46">
        <f>I701*AP701</f>
        <v>0</v>
      </c>
      <c r="M701" s="46">
        <f>I701*J701</f>
        <v>0</v>
      </c>
      <c r="N701" s="46">
        <v>0</v>
      </c>
      <c r="O701" s="6" t="s">
        <v>1149</v>
      </c>
      <c r="Z701" s="46">
        <f>IF(AQ701="5",BJ701,0)</f>
        <v>0</v>
      </c>
      <c r="AB701" s="46">
        <f>IF(AQ701="1",BH701,0)</f>
        <v>0</v>
      </c>
      <c r="AC701" s="46">
        <f>IF(AQ701="1",BI701,0)</f>
        <v>0</v>
      </c>
      <c r="AD701" s="46">
        <f>IF(AQ701="7",BH701,0)</f>
        <v>0</v>
      </c>
      <c r="AE701" s="46">
        <f>IF(AQ701="7",BI701,0)</f>
        <v>0</v>
      </c>
      <c r="AF701" s="46">
        <f>IF(AQ701="2",BH701,0)</f>
        <v>0</v>
      </c>
      <c r="AG701" s="46">
        <f>IF(AQ701="2",BI701,0)</f>
        <v>0</v>
      </c>
      <c r="AH701" s="46">
        <f>IF(AQ701="0",BJ701,0)</f>
        <v>0</v>
      </c>
      <c r="AI701" s="1" t="s">
        <v>1668</v>
      </c>
      <c r="AJ701" s="46">
        <f>IF(AN701=0,M701,0)</f>
        <v>0</v>
      </c>
      <c r="AK701" s="46">
        <f>IF(AN701=15,M701,0)</f>
        <v>0</v>
      </c>
      <c r="AL701" s="46">
        <f>IF(AN701=21,M701,0)</f>
        <v>0</v>
      </c>
      <c r="AN701" s="46">
        <v>21</v>
      </c>
      <c r="AO701" s="46">
        <f>J701*0</f>
        <v>0</v>
      </c>
      <c r="AP701" s="46">
        <f>J701*(1-0)</f>
        <v>0</v>
      </c>
      <c r="AQ701" s="42" t="s">
        <v>1648</v>
      </c>
      <c r="AV701" s="46">
        <f>AW701+AX701</f>
        <v>0</v>
      </c>
      <c r="AW701" s="46">
        <f>I701*AO701</f>
        <v>0</v>
      </c>
      <c r="AX701" s="46">
        <f>I701*AP701</f>
        <v>0</v>
      </c>
      <c r="AY701" s="42" t="s">
        <v>109</v>
      </c>
      <c r="AZ701" s="42" t="s">
        <v>190</v>
      </c>
      <c r="BA701" s="1" t="s">
        <v>172</v>
      </c>
      <c r="BC701" s="46">
        <f>AW701+AX701</f>
        <v>0</v>
      </c>
      <c r="BD701" s="46">
        <f>J701/(100-BE701)*100</f>
        <v>0</v>
      </c>
      <c r="BE701" s="46">
        <v>0</v>
      </c>
      <c r="BF701" s="46">
        <f>701</f>
        <v>701</v>
      </c>
      <c r="BH701" s="46">
        <f>I701*AO701</f>
        <v>0</v>
      </c>
      <c r="BI701" s="46">
        <f>I701*AP701</f>
        <v>0</v>
      </c>
      <c r="BJ701" s="46">
        <f>I701*J701</f>
        <v>0</v>
      </c>
      <c r="BK701" s="46"/>
      <c r="BL701" s="46">
        <v>87</v>
      </c>
    </row>
    <row r="702" spans="1:15" ht="15" customHeight="1">
      <c r="A702" s="10"/>
      <c r="D702" s="32" t="s">
        <v>719</v>
      </c>
      <c r="G702" s="32" t="s">
        <v>1163</v>
      </c>
      <c r="I702" s="58">
        <v>439.1</v>
      </c>
      <c r="O702" s="30"/>
    </row>
    <row r="703" spans="1:64" ht="15" customHeight="1">
      <c r="A703" s="52" t="s">
        <v>1796</v>
      </c>
      <c r="B703" s="43" t="s">
        <v>1668</v>
      </c>
      <c r="C703" s="43" t="s">
        <v>1579</v>
      </c>
      <c r="D703" s="61" t="s">
        <v>1810</v>
      </c>
      <c r="E703" s="61"/>
      <c r="F703" s="61"/>
      <c r="G703" s="61"/>
      <c r="H703" s="43" t="s">
        <v>1365</v>
      </c>
      <c r="I703" s="46">
        <v>443.491</v>
      </c>
      <c r="J703" s="46">
        <v>0</v>
      </c>
      <c r="K703" s="46">
        <f>I703*AO703</f>
        <v>0</v>
      </c>
      <c r="L703" s="46">
        <f>I703*AP703</f>
        <v>0</v>
      </c>
      <c r="M703" s="46">
        <f>I703*J703</f>
        <v>0</v>
      </c>
      <c r="N703" s="46">
        <v>0.00316</v>
      </c>
      <c r="O703" s="6" t="s">
        <v>1149</v>
      </c>
      <c r="Z703" s="46">
        <f>IF(AQ703="5",BJ703,0)</f>
        <v>0</v>
      </c>
      <c r="AB703" s="46">
        <f>IF(AQ703="1",BH703,0)</f>
        <v>0</v>
      </c>
      <c r="AC703" s="46">
        <f>IF(AQ703="1",BI703,0)</f>
        <v>0</v>
      </c>
      <c r="AD703" s="46">
        <f>IF(AQ703="7",BH703,0)</f>
        <v>0</v>
      </c>
      <c r="AE703" s="46">
        <f>IF(AQ703="7",BI703,0)</f>
        <v>0</v>
      </c>
      <c r="AF703" s="46">
        <f>IF(AQ703="2",BH703,0)</f>
        <v>0</v>
      </c>
      <c r="AG703" s="46">
        <f>IF(AQ703="2",BI703,0)</f>
        <v>0</v>
      </c>
      <c r="AH703" s="46">
        <f>IF(AQ703="0",BJ703,0)</f>
        <v>0</v>
      </c>
      <c r="AI703" s="1" t="s">
        <v>1668</v>
      </c>
      <c r="AJ703" s="46">
        <f>IF(AN703=0,M703,0)</f>
        <v>0</v>
      </c>
      <c r="AK703" s="46">
        <f>IF(AN703=15,M703,0)</f>
        <v>0</v>
      </c>
      <c r="AL703" s="46">
        <f>IF(AN703=21,M703,0)</f>
        <v>0</v>
      </c>
      <c r="AN703" s="46">
        <v>21</v>
      </c>
      <c r="AO703" s="46">
        <f>J703*1</f>
        <v>0</v>
      </c>
      <c r="AP703" s="46">
        <f>J703*(1-1)</f>
        <v>0</v>
      </c>
      <c r="AQ703" s="42" t="s">
        <v>1648</v>
      </c>
      <c r="AV703" s="46">
        <f>AW703+AX703</f>
        <v>0</v>
      </c>
      <c r="AW703" s="46">
        <f>I703*AO703</f>
        <v>0</v>
      </c>
      <c r="AX703" s="46">
        <f>I703*AP703</f>
        <v>0</v>
      </c>
      <c r="AY703" s="42" t="s">
        <v>109</v>
      </c>
      <c r="AZ703" s="42" t="s">
        <v>190</v>
      </c>
      <c r="BA703" s="1" t="s">
        <v>172</v>
      </c>
      <c r="BC703" s="46">
        <f>AW703+AX703</f>
        <v>0</v>
      </c>
      <c r="BD703" s="46">
        <f>J703/(100-BE703)*100</f>
        <v>0</v>
      </c>
      <c r="BE703" s="46">
        <v>0</v>
      </c>
      <c r="BF703" s="46">
        <f>703</f>
        <v>703</v>
      </c>
      <c r="BH703" s="46">
        <f>I703*AO703</f>
        <v>0</v>
      </c>
      <c r="BI703" s="46">
        <f>I703*AP703</f>
        <v>0</v>
      </c>
      <c r="BJ703" s="46">
        <f>I703*J703</f>
        <v>0</v>
      </c>
      <c r="BK703" s="46"/>
      <c r="BL703" s="46">
        <v>87</v>
      </c>
    </row>
    <row r="704" spans="1:15" ht="15" customHeight="1">
      <c r="A704" s="10"/>
      <c r="D704" s="32" t="s">
        <v>1135</v>
      </c>
      <c r="G704" s="32" t="s">
        <v>1488</v>
      </c>
      <c r="I704" s="58">
        <v>443.49100000000004</v>
      </c>
      <c r="O704" s="30"/>
    </row>
    <row r="705" spans="1:64" ht="15" customHeight="1">
      <c r="A705" s="52" t="s">
        <v>330</v>
      </c>
      <c r="B705" s="43" t="s">
        <v>1668</v>
      </c>
      <c r="C705" s="43" t="s">
        <v>446</v>
      </c>
      <c r="D705" s="61" t="s">
        <v>239</v>
      </c>
      <c r="E705" s="61"/>
      <c r="F705" s="61"/>
      <c r="G705" s="61"/>
      <c r="H705" s="43" t="s">
        <v>392</v>
      </c>
      <c r="I705" s="46">
        <v>12</v>
      </c>
      <c r="J705" s="46">
        <v>0</v>
      </c>
      <c r="K705" s="46">
        <f>I705*AO705</f>
        <v>0</v>
      </c>
      <c r="L705" s="46">
        <f>I705*AP705</f>
        <v>0</v>
      </c>
      <c r="M705" s="46">
        <f>I705*J705</f>
        <v>0</v>
      </c>
      <c r="N705" s="46">
        <v>0</v>
      </c>
      <c r="O705" s="6" t="s">
        <v>1149</v>
      </c>
      <c r="Z705" s="46">
        <f>IF(AQ705="5",BJ705,0)</f>
        <v>0</v>
      </c>
      <c r="AB705" s="46">
        <f>IF(AQ705="1",BH705,0)</f>
        <v>0</v>
      </c>
      <c r="AC705" s="46">
        <f>IF(AQ705="1",BI705,0)</f>
        <v>0</v>
      </c>
      <c r="AD705" s="46">
        <f>IF(AQ705="7",BH705,0)</f>
        <v>0</v>
      </c>
      <c r="AE705" s="46">
        <f>IF(AQ705="7",BI705,0)</f>
        <v>0</v>
      </c>
      <c r="AF705" s="46">
        <f>IF(AQ705="2",BH705,0)</f>
        <v>0</v>
      </c>
      <c r="AG705" s="46">
        <f>IF(AQ705="2",BI705,0)</f>
        <v>0</v>
      </c>
      <c r="AH705" s="46">
        <f>IF(AQ705="0",BJ705,0)</f>
        <v>0</v>
      </c>
      <c r="AI705" s="1" t="s">
        <v>1668</v>
      </c>
      <c r="AJ705" s="46">
        <f>IF(AN705=0,M705,0)</f>
        <v>0</v>
      </c>
      <c r="AK705" s="46">
        <f>IF(AN705=15,M705,0)</f>
        <v>0</v>
      </c>
      <c r="AL705" s="46">
        <f>IF(AN705=21,M705,0)</f>
        <v>0</v>
      </c>
      <c r="AN705" s="46">
        <v>21</v>
      </c>
      <c r="AO705" s="46">
        <f>J705*0</f>
        <v>0</v>
      </c>
      <c r="AP705" s="46">
        <f>J705*(1-0)</f>
        <v>0</v>
      </c>
      <c r="AQ705" s="42" t="s">
        <v>1648</v>
      </c>
      <c r="AV705" s="46">
        <f>AW705+AX705</f>
        <v>0</v>
      </c>
      <c r="AW705" s="46">
        <f>I705*AO705</f>
        <v>0</v>
      </c>
      <c r="AX705" s="46">
        <f>I705*AP705</f>
        <v>0</v>
      </c>
      <c r="AY705" s="42" t="s">
        <v>109</v>
      </c>
      <c r="AZ705" s="42" t="s">
        <v>190</v>
      </c>
      <c r="BA705" s="1" t="s">
        <v>172</v>
      </c>
      <c r="BC705" s="46">
        <f>AW705+AX705</f>
        <v>0</v>
      </c>
      <c r="BD705" s="46">
        <f>J705/(100-BE705)*100</f>
        <v>0</v>
      </c>
      <c r="BE705" s="46">
        <v>0</v>
      </c>
      <c r="BF705" s="46">
        <f>705</f>
        <v>705</v>
      </c>
      <c r="BH705" s="46">
        <f>I705*AO705</f>
        <v>0</v>
      </c>
      <c r="BI705" s="46">
        <f>I705*AP705</f>
        <v>0</v>
      </c>
      <c r="BJ705" s="46">
        <f>I705*J705</f>
        <v>0</v>
      </c>
      <c r="BK705" s="46"/>
      <c r="BL705" s="46">
        <v>87</v>
      </c>
    </row>
    <row r="706" spans="1:15" ht="15" customHeight="1">
      <c r="A706" s="10"/>
      <c r="D706" s="32" t="s">
        <v>139</v>
      </c>
      <c r="G706" s="32" t="s">
        <v>1163</v>
      </c>
      <c r="I706" s="58">
        <v>12.000000000000002</v>
      </c>
      <c r="O706" s="30"/>
    </row>
    <row r="707" spans="1:64" ht="15" customHeight="1">
      <c r="A707" s="52" t="s">
        <v>995</v>
      </c>
      <c r="B707" s="43" t="s">
        <v>1668</v>
      </c>
      <c r="C707" s="43" t="s">
        <v>215</v>
      </c>
      <c r="D707" s="61" t="s">
        <v>786</v>
      </c>
      <c r="E707" s="61"/>
      <c r="F707" s="61"/>
      <c r="G707" s="61"/>
      <c r="H707" s="43" t="s">
        <v>392</v>
      </c>
      <c r="I707" s="46">
        <v>2</v>
      </c>
      <c r="J707" s="46">
        <v>0</v>
      </c>
      <c r="K707" s="46">
        <f>I707*AO707</f>
        <v>0</v>
      </c>
      <c r="L707" s="46">
        <f>I707*AP707</f>
        <v>0</v>
      </c>
      <c r="M707" s="46">
        <f>I707*J707</f>
        <v>0</v>
      </c>
      <c r="N707" s="46">
        <v>0.00105</v>
      </c>
      <c r="O707" s="6" t="s">
        <v>1149</v>
      </c>
      <c r="Z707" s="46">
        <f>IF(AQ707="5",BJ707,0)</f>
        <v>0</v>
      </c>
      <c r="AB707" s="46">
        <f>IF(AQ707="1",BH707,0)</f>
        <v>0</v>
      </c>
      <c r="AC707" s="46">
        <f>IF(AQ707="1",BI707,0)</f>
        <v>0</v>
      </c>
      <c r="AD707" s="46">
        <f>IF(AQ707="7",BH707,0)</f>
        <v>0</v>
      </c>
      <c r="AE707" s="46">
        <f>IF(AQ707="7",BI707,0)</f>
        <v>0</v>
      </c>
      <c r="AF707" s="46">
        <f>IF(AQ707="2",BH707,0)</f>
        <v>0</v>
      </c>
      <c r="AG707" s="46">
        <f>IF(AQ707="2",BI707,0)</f>
        <v>0</v>
      </c>
      <c r="AH707" s="46">
        <f>IF(AQ707="0",BJ707,0)</f>
        <v>0</v>
      </c>
      <c r="AI707" s="1" t="s">
        <v>1668</v>
      </c>
      <c r="AJ707" s="46">
        <f>IF(AN707=0,M707,0)</f>
        <v>0</v>
      </c>
      <c r="AK707" s="46">
        <f>IF(AN707=15,M707,0)</f>
        <v>0</v>
      </c>
      <c r="AL707" s="46">
        <f>IF(AN707=21,M707,0)</f>
        <v>0</v>
      </c>
      <c r="AN707" s="46">
        <v>21</v>
      </c>
      <c r="AO707" s="46">
        <f>J707*1</f>
        <v>0</v>
      </c>
      <c r="AP707" s="46">
        <f>J707*(1-1)</f>
        <v>0</v>
      </c>
      <c r="AQ707" s="42" t="s">
        <v>1648</v>
      </c>
      <c r="AV707" s="46">
        <f>AW707+AX707</f>
        <v>0</v>
      </c>
      <c r="AW707" s="46">
        <f>I707*AO707</f>
        <v>0</v>
      </c>
      <c r="AX707" s="46">
        <f>I707*AP707</f>
        <v>0</v>
      </c>
      <c r="AY707" s="42" t="s">
        <v>109</v>
      </c>
      <c r="AZ707" s="42" t="s">
        <v>190</v>
      </c>
      <c r="BA707" s="1" t="s">
        <v>172</v>
      </c>
      <c r="BC707" s="46">
        <f>AW707+AX707</f>
        <v>0</v>
      </c>
      <c r="BD707" s="46">
        <f>J707/(100-BE707)*100</f>
        <v>0</v>
      </c>
      <c r="BE707" s="46">
        <v>0</v>
      </c>
      <c r="BF707" s="46">
        <f>707</f>
        <v>707</v>
      </c>
      <c r="BH707" s="46">
        <f>I707*AO707</f>
        <v>0</v>
      </c>
      <c r="BI707" s="46">
        <f>I707*AP707</f>
        <v>0</v>
      </c>
      <c r="BJ707" s="46">
        <f>I707*J707</f>
        <v>0</v>
      </c>
      <c r="BK707" s="46"/>
      <c r="BL707" s="46">
        <v>87</v>
      </c>
    </row>
    <row r="708" spans="1:64" ht="15" customHeight="1">
      <c r="A708" s="52" t="s">
        <v>1247</v>
      </c>
      <c r="B708" s="43" t="s">
        <v>1668</v>
      </c>
      <c r="C708" s="43" t="s">
        <v>1075</v>
      </c>
      <c r="D708" s="61" t="s">
        <v>918</v>
      </c>
      <c r="E708" s="61"/>
      <c r="F708" s="61"/>
      <c r="G708" s="61"/>
      <c r="H708" s="43" t="s">
        <v>392</v>
      </c>
      <c r="I708" s="46">
        <v>2</v>
      </c>
      <c r="J708" s="46">
        <v>0</v>
      </c>
      <c r="K708" s="46">
        <f>I708*AO708</f>
        <v>0</v>
      </c>
      <c r="L708" s="46">
        <f>I708*AP708</f>
        <v>0</v>
      </c>
      <c r="M708" s="46">
        <f>I708*J708</f>
        <v>0</v>
      </c>
      <c r="N708" s="46">
        <v>0.00126</v>
      </c>
      <c r="O708" s="6" t="s">
        <v>1149</v>
      </c>
      <c r="Z708" s="46">
        <f>IF(AQ708="5",BJ708,0)</f>
        <v>0</v>
      </c>
      <c r="AB708" s="46">
        <f>IF(AQ708="1",BH708,0)</f>
        <v>0</v>
      </c>
      <c r="AC708" s="46">
        <f>IF(AQ708="1",BI708,0)</f>
        <v>0</v>
      </c>
      <c r="AD708" s="46">
        <f>IF(AQ708="7",BH708,0)</f>
        <v>0</v>
      </c>
      <c r="AE708" s="46">
        <f>IF(AQ708="7",BI708,0)</f>
        <v>0</v>
      </c>
      <c r="AF708" s="46">
        <f>IF(AQ708="2",BH708,0)</f>
        <v>0</v>
      </c>
      <c r="AG708" s="46">
        <f>IF(AQ708="2",BI708,0)</f>
        <v>0</v>
      </c>
      <c r="AH708" s="46">
        <f>IF(AQ708="0",BJ708,0)</f>
        <v>0</v>
      </c>
      <c r="AI708" s="1" t="s">
        <v>1668</v>
      </c>
      <c r="AJ708" s="46">
        <f>IF(AN708=0,M708,0)</f>
        <v>0</v>
      </c>
      <c r="AK708" s="46">
        <f>IF(AN708=15,M708,0)</f>
        <v>0</v>
      </c>
      <c r="AL708" s="46">
        <f>IF(AN708=21,M708,0)</f>
        <v>0</v>
      </c>
      <c r="AN708" s="46">
        <v>21</v>
      </c>
      <c r="AO708" s="46">
        <f>J708*1</f>
        <v>0</v>
      </c>
      <c r="AP708" s="46">
        <f>J708*(1-1)</f>
        <v>0</v>
      </c>
      <c r="AQ708" s="42" t="s">
        <v>1648</v>
      </c>
      <c r="AV708" s="46">
        <f>AW708+AX708</f>
        <v>0</v>
      </c>
      <c r="AW708" s="46">
        <f>I708*AO708</f>
        <v>0</v>
      </c>
      <c r="AX708" s="46">
        <f>I708*AP708</f>
        <v>0</v>
      </c>
      <c r="AY708" s="42" t="s">
        <v>109</v>
      </c>
      <c r="AZ708" s="42" t="s">
        <v>190</v>
      </c>
      <c r="BA708" s="1" t="s">
        <v>172</v>
      </c>
      <c r="BC708" s="46">
        <f>AW708+AX708</f>
        <v>0</v>
      </c>
      <c r="BD708" s="46">
        <f>J708/(100-BE708)*100</f>
        <v>0</v>
      </c>
      <c r="BE708" s="46">
        <v>0</v>
      </c>
      <c r="BF708" s="46">
        <f>708</f>
        <v>708</v>
      </c>
      <c r="BH708" s="46">
        <f>I708*AO708</f>
        <v>0</v>
      </c>
      <c r="BI708" s="46">
        <f>I708*AP708</f>
        <v>0</v>
      </c>
      <c r="BJ708" s="46">
        <f>I708*J708</f>
        <v>0</v>
      </c>
      <c r="BK708" s="46"/>
      <c r="BL708" s="46">
        <v>87</v>
      </c>
    </row>
    <row r="709" spans="1:64" ht="15" customHeight="1">
      <c r="A709" s="52" t="s">
        <v>273</v>
      </c>
      <c r="B709" s="43" t="s">
        <v>1668</v>
      </c>
      <c r="C709" s="43" t="s">
        <v>313</v>
      </c>
      <c r="D709" s="61" t="s">
        <v>709</v>
      </c>
      <c r="E709" s="61"/>
      <c r="F709" s="61"/>
      <c r="G709" s="61"/>
      <c r="H709" s="43" t="s">
        <v>392</v>
      </c>
      <c r="I709" s="46">
        <v>2</v>
      </c>
      <c r="J709" s="46">
        <v>0</v>
      </c>
      <c r="K709" s="46">
        <f>I709*AO709</f>
        <v>0</v>
      </c>
      <c r="L709" s="46">
        <f>I709*AP709</f>
        <v>0</v>
      </c>
      <c r="M709" s="46">
        <f>I709*J709</f>
        <v>0</v>
      </c>
      <c r="N709" s="46">
        <v>0.00115</v>
      </c>
      <c r="O709" s="6" t="s">
        <v>1149</v>
      </c>
      <c r="Z709" s="46">
        <f>IF(AQ709="5",BJ709,0)</f>
        <v>0</v>
      </c>
      <c r="AB709" s="46">
        <f>IF(AQ709="1",BH709,0)</f>
        <v>0</v>
      </c>
      <c r="AC709" s="46">
        <f>IF(AQ709="1",BI709,0)</f>
        <v>0</v>
      </c>
      <c r="AD709" s="46">
        <f>IF(AQ709="7",BH709,0)</f>
        <v>0</v>
      </c>
      <c r="AE709" s="46">
        <f>IF(AQ709="7",BI709,0)</f>
        <v>0</v>
      </c>
      <c r="AF709" s="46">
        <f>IF(AQ709="2",BH709,0)</f>
        <v>0</v>
      </c>
      <c r="AG709" s="46">
        <f>IF(AQ709="2",BI709,0)</f>
        <v>0</v>
      </c>
      <c r="AH709" s="46">
        <f>IF(AQ709="0",BJ709,0)</f>
        <v>0</v>
      </c>
      <c r="AI709" s="1" t="s">
        <v>1668</v>
      </c>
      <c r="AJ709" s="46">
        <f>IF(AN709=0,M709,0)</f>
        <v>0</v>
      </c>
      <c r="AK709" s="46">
        <f>IF(AN709=15,M709,0)</f>
        <v>0</v>
      </c>
      <c r="AL709" s="46">
        <f>IF(AN709=21,M709,0)</f>
        <v>0</v>
      </c>
      <c r="AN709" s="46">
        <v>21</v>
      </c>
      <c r="AO709" s="46">
        <f>J709*1</f>
        <v>0</v>
      </c>
      <c r="AP709" s="46">
        <f>J709*(1-1)</f>
        <v>0</v>
      </c>
      <c r="AQ709" s="42" t="s">
        <v>1648</v>
      </c>
      <c r="AV709" s="46">
        <f>AW709+AX709</f>
        <v>0</v>
      </c>
      <c r="AW709" s="46">
        <f>I709*AO709</f>
        <v>0</v>
      </c>
      <c r="AX709" s="46">
        <f>I709*AP709</f>
        <v>0</v>
      </c>
      <c r="AY709" s="42" t="s">
        <v>109</v>
      </c>
      <c r="AZ709" s="42" t="s">
        <v>190</v>
      </c>
      <c r="BA709" s="1" t="s">
        <v>172</v>
      </c>
      <c r="BC709" s="46">
        <f>AW709+AX709</f>
        <v>0</v>
      </c>
      <c r="BD709" s="46">
        <f>J709/(100-BE709)*100</f>
        <v>0</v>
      </c>
      <c r="BE709" s="46">
        <v>0</v>
      </c>
      <c r="BF709" s="46">
        <f>709</f>
        <v>709</v>
      </c>
      <c r="BH709" s="46">
        <f>I709*AO709</f>
        <v>0</v>
      </c>
      <c r="BI709" s="46">
        <f>I709*AP709</f>
        <v>0</v>
      </c>
      <c r="BJ709" s="46">
        <f>I709*J709</f>
        <v>0</v>
      </c>
      <c r="BK709" s="46"/>
      <c r="BL709" s="46">
        <v>87</v>
      </c>
    </row>
    <row r="710" spans="1:15" ht="15" customHeight="1">
      <c r="A710" s="10"/>
      <c r="D710" s="32" t="s">
        <v>1157</v>
      </c>
      <c r="G710" s="32" t="s">
        <v>1687</v>
      </c>
      <c r="I710" s="58">
        <v>2</v>
      </c>
      <c r="O710" s="30"/>
    </row>
    <row r="711" spans="1:47" ht="15" customHeight="1">
      <c r="A711" s="3" t="s">
        <v>1163</v>
      </c>
      <c r="B711" s="9" t="s">
        <v>1668</v>
      </c>
      <c r="C711" s="9" t="s">
        <v>1754</v>
      </c>
      <c r="D711" s="64" t="s">
        <v>1089</v>
      </c>
      <c r="E711" s="64"/>
      <c r="F711" s="64"/>
      <c r="G711" s="64"/>
      <c r="H711" s="41" t="s">
        <v>1537</v>
      </c>
      <c r="I711" s="41" t="s">
        <v>1537</v>
      </c>
      <c r="J711" s="41" t="s">
        <v>1537</v>
      </c>
      <c r="K711" s="50">
        <f>SUM(K712:K745)</f>
        <v>0</v>
      </c>
      <c r="L711" s="50">
        <f>SUM(L712:L745)</f>
        <v>0</v>
      </c>
      <c r="M711" s="50">
        <f>SUM(M712:M745)</f>
        <v>0</v>
      </c>
      <c r="N711" s="1" t="s">
        <v>1163</v>
      </c>
      <c r="O711" s="45" t="s">
        <v>1163</v>
      </c>
      <c r="AI711" s="1" t="s">
        <v>1668</v>
      </c>
      <c r="AS711" s="50">
        <f>SUM(AJ712:AJ745)</f>
        <v>0</v>
      </c>
      <c r="AT711" s="50">
        <f>SUM(AK712:AK745)</f>
        <v>0</v>
      </c>
      <c r="AU711" s="50">
        <f>SUM(AL712:AL745)</f>
        <v>0</v>
      </c>
    </row>
    <row r="712" spans="1:64" ht="15" customHeight="1">
      <c r="A712" s="52" t="s">
        <v>1439</v>
      </c>
      <c r="B712" s="43" t="s">
        <v>1668</v>
      </c>
      <c r="C712" s="43" t="s">
        <v>1769</v>
      </c>
      <c r="D712" s="61" t="s">
        <v>1640</v>
      </c>
      <c r="E712" s="61"/>
      <c r="F712" s="61"/>
      <c r="G712" s="61"/>
      <c r="H712" s="43" t="s">
        <v>1365</v>
      </c>
      <c r="I712" s="46">
        <v>439.1</v>
      </c>
      <c r="J712" s="46">
        <v>0</v>
      </c>
      <c r="K712" s="46">
        <f>I712*AO712</f>
        <v>0</v>
      </c>
      <c r="L712" s="46">
        <f>I712*AP712</f>
        <v>0</v>
      </c>
      <c r="M712" s="46">
        <f>I712*J712</f>
        <v>0</v>
      </c>
      <c r="N712" s="46">
        <v>0</v>
      </c>
      <c r="O712" s="6" t="s">
        <v>1149</v>
      </c>
      <c r="Z712" s="46">
        <f>IF(AQ712="5",BJ712,0)</f>
        <v>0</v>
      </c>
      <c r="AB712" s="46">
        <f>IF(AQ712="1",BH712,0)</f>
        <v>0</v>
      </c>
      <c r="AC712" s="46">
        <f>IF(AQ712="1",BI712,0)</f>
        <v>0</v>
      </c>
      <c r="AD712" s="46">
        <f>IF(AQ712="7",BH712,0)</f>
        <v>0</v>
      </c>
      <c r="AE712" s="46">
        <f>IF(AQ712="7",BI712,0)</f>
        <v>0</v>
      </c>
      <c r="AF712" s="46">
        <f>IF(AQ712="2",BH712,0)</f>
        <v>0</v>
      </c>
      <c r="AG712" s="46">
        <f>IF(AQ712="2",BI712,0)</f>
        <v>0</v>
      </c>
      <c r="AH712" s="46">
        <f>IF(AQ712="0",BJ712,0)</f>
        <v>0</v>
      </c>
      <c r="AI712" s="1" t="s">
        <v>1668</v>
      </c>
      <c r="AJ712" s="46">
        <f>IF(AN712=0,M712,0)</f>
        <v>0</v>
      </c>
      <c r="AK712" s="46">
        <f>IF(AN712=15,M712,0)</f>
        <v>0</v>
      </c>
      <c r="AL712" s="46">
        <f>IF(AN712=21,M712,0)</f>
        <v>0</v>
      </c>
      <c r="AN712" s="46">
        <v>21</v>
      </c>
      <c r="AO712" s="46">
        <f>J712*0.0245590340456546</f>
        <v>0</v>
      </c>
      <c r="AP712" s="46">
        <f>J712*(1-0.0245590340456546)</f>
        <v>0</v>
      </c>
      <c r="AQ712" s="42" t="s">
        <v>1648</v>
      </c>
      <c r="AV712" s="46">
        <f>AW712+AX712</f>
        <v>0</v>
      </c>
      <c r="AW712" s="46">
        <f>I712*AO712</f>
        <v>0</v>
      </c>
      <c r="AX712" s="46">
        <f>I712*AP712</f>
        <v>0</v>
      </c>
      <c r="AY712" s="42" t="s">
        <v>132</v>
      </c>
      <c r="AZ712" s="42" t="s">
        <v>190</v>
      </c>
      <c r="BA712" s="1" t="s">
        <v>172</v>
      </c>
      <c r="BC712" s="46">
        <f>AW712+AX712</f>
        <v>0</v>
      </c>
      <c r="BD712" s="46">
        <f>J712/(100-BE712)*100</f>
        <v>0</v>
      </c>
      <c r="BE712" s="46">
        <v>0</v>
      </c>
      <c r="BF712" s="46">
        <f>712</f>
        <v>712</v>
      </c>
      <c r="BH712" s="46">
        <f>I712*AO712</f>
        <v>0</v>
      </c>
      <c r="BI712" s="46">
        <f>I712*AP712</f>
        <v>0</v>
      </c>
      <c r="BJ712" s="46">
        <f>I712*J712</f>
        <v>0</v>
      </c>
      <c r="BK712" s="46"/>
      <c r="BL712" s="46">
        <v>89</v>
      </c>
    </row>
    <row r="713" spans="1:15" ht="15" customHeight="1">
      <c r="A713" s="10"/>
      <c r="D713" s="32" t="s">
        <v>719</v>
      </c>
      <c r="G713" s="32" t="s">
        <v>1163</v>
      </c>
      <c r="I713" s="58">
        <v>439.1</v>
      </c>
      <c r="O713" s="30"/>
    </row>
    <row r="714" spans="1:64" ht="15" customHeight="1">
      <c r="A714" s="52" t="s">
        <v>1167</v>
      </c>
      <c r="B714" s="43" t="s">
        <v>1668</v>
      </c>
      <c r="C714" s="43" t="s">
        <v>1069</v>
      </c>
      <c r="D714" s="61" t="s">
        <v>842</v>
      </c>
      <c r="E714" s="61"/>
      <c r="F714" s="61"/>
      <c r="G714" s="61"/>
      <c r="H714" s="43" t="s">
        <v>1365</v>
      </c>
      <c r="I714" s="46">
        <v>439.1</v>
      </c>
      <c r="J714" s="46">
        <v>0</v>
      </c>
      <c r="K714" s="46">
        <f>I714*AO714</f>
        <v>0</v>
      </c>
      <c r="L714" s="46">
        <f>I714*AP714</f>
        <v>0</v>
      </c>
      <c r="M714" s="46">
        <f>I714*J714</f>
        <v>0</v>
      </c>
      <c r="N714" s="46">
        <v>0</v>
      </c>
      <c r="O714" s="6" t="s">
        <v>1149</v>
      </c>
      <c r="Z714" s="46">
        <f>IF(AQ714="5",BJ714,0)</f>
        <v>0</v>
      </c>
      <c r="AB714" s="46">
        <f>IF(AQ714="1",BH714,0)</f>
        <v>0</v>
      </c>
      <c r="AC714" s="46">
        <f>IF(AQ714="1",BI714,0)</f>
        <v>0</v>
      </c>
      <c r="AD714" s="46">
        <f>IF(AQ714="7",BH714,0)</f>
        <v>0</v>
      </c>
      <c r="AE714" s="46">
        <f>IF(AQ714="7",BI714,0)</f>
        <v>0</v>
      </c>
      <c r="AF714" s="46">
        <f>IF(AQ714="2",BH714,0)</f>
        <v>0</v>
      </c>
      <c r="AG714" s="46">
        <f>IF(AQ714="2",BI714,0)</f>
        <v>0</v>
      </c>
      <c r="AH714" s="46">
        <f>IF(AQ714="0",BJ714,0)</f>
        <v>0</v>
      </c>
      <c r="AI714" s="1" t="s">
        <v>1668</v>
      </c>
      <c r="AJ714" s="46">
        <f>IF(AN714=0,M714,0)</f>
        <v>0</v>
      </c>
      <c r="AK714" s="46">
        <f>IF(AN714=15,M714,0)</f>
        <v>0</v>
      </c>
      <c r="AL714" s="46">
        <f>IF(AN714=21,M714,0)</f>
        <v>0</v>
      </c>
      <c r="AN714" s="46">
        <v>21</v>
      </c>
      <c r="AO714" s="46">
        <f>J714*0.0295666234372377</f>
        <v>0</v>
      </c>
      <c r="AP714" s="46">
        <f>J714*(1-0.0295666234372377)</f>
        <v>0</v>
      </c>
      <c r="AQ714" s="42" t="s">
        <v>1648</v>
      </c>
      <c r="AV714" s="46">
        <f>AW714+AX714</f>
        <v>0</v>
      </c>
      <c r="AW714" s="46">
        <f>I714*AO714</f>
        <v>0</v>
      </c>
      <c r="AX714" s="46">
        <f>I714*AP714</f>
        <v>0</v>
      </c>
      <c r="AY714" s="42" t="s">
        <v>132</v>
      </c>
      <c r="AZ714" s="42" t="s">
        <v>190</v>
      </c>
      <c r="BA714" s="1" t="s">
        <v>172</v>
      </c>
      <c r="BC714" s="46">
        <f>AW714+AX714</f>
        <v>0</v>
      </c>
      <c r="BD714" s="46">
        <f>J714/(100-BE714)*100</f>
        <v>0</v>
      </c>
      <c r="BE714" s="46">
        <v>0</v>
      </c>
      <c r="BF714" s="46">
        <f>714</f>
        <v>714</v>
      </c>
      <c r="BH714" s="46">
        <f>I714*AO714</f>
        <v>0</v>
      </c>
      <c r="BI714" s="46">
        <f>I714*AP714</f>
        <v>0</v>
      </c>
      <c r="BJ714" s="46">
        <f>I714*J714</f>
        <v>0</v>
      </c>
      <c r="BK714" s="46"/>
      <c r="BL714" s="46">
        <v>89</v>
      </c>
    </row>
    <row r="715" spans="1:15" ht="15" customHeight="1">
      <c r="A715" s="10"/>
      <c r="D715" s="32" t="s">
        <v>208</v>
      </c>
      <c r="G715" s="32" t="s">
        <v>651</v>
      </c>
      <c r="I715" s="58">
        <v>439.1</v>
      </c>
      <c r="O715" s="30"/>
    </row>
    <row r="716" spans="1:64" ht="15" customHeight="1">
      <c r="A716" s="52" t="s">
        <v>440</v>
      </c>
      <c r="B716" s="43" t="s">
        <v>1668</v>
      </c>
      <c r="C716" s="43" t="s">
        <v>305</v>
      </c>
      <c r="D716" s="61" t="s">
        <v>1766</v>
      </c>
      <c r="E716" s="61"/>
      <c r="F716" s="61"/>
      <c r="G716" s="61"/>
      <c r="H716" s="43" t="s">
        <v>1365</v>
      </c>
      <c r="I716" s="46">
        <v>478.61</v>
      </c>
      <c r="J716" s="46">
        <v>0</v>
      </c>
      <c r="K716" s="46">
        <f>I716*AO716</f>
        <v>0</v>
      </c>
      <c r="L716" s="46">
        <f>I716*AP716</f>
        <v>0</v>
      </c>
      <c r="M716" s="46">
        <f>I716*J716</f>
        <v>0</v>
      </c>
      <c r="N716" s="46">
        <v>0</v>
      </c>
      <c r="O716" s="6" t="s">
        <v>1149</v>
      </c>
      <c r="Z716" s="46">
        <f>IF(AQ716="5",BJ716,0)</f>
        <v>0</v>
      </c>
      <c r="AB716" s="46">
        <f>IF(AQ716="1",BH716,0)</f>
        <v>0</v>
      </c>
      <c r="AC716" s="46">
        <f>IF(AQ716="1",BI716,0)</f>
        <v>0</v>
      </c>
      <c r="AD716" s="46">
        <f>IF(AQ716="7",BH716,0)</f>
        <v>0</v>
      </c>
      <c r="AE716" s="46">
        <f>IF(AQ716="7",BI716,0)</f>
        <v>0</v>
      </c>
      <c r="AF716" s="46">
        <f>IF(AQ716="2",BH716,0)</f>
        <v>0</v>
      </c>
      <c r="AG716" s="46">
        <f>IF(AQ716="2",BI716,0)</f>
        <v>0</v>
      </c>
      <c r="AH716" s="46">
        <f>IF(AQ716="0",BJ716,0)</f>
        <v>0</v>
      </c>
      <c r="AI716" s="1" t="s">
        <v>1668</v>
      </c>
      <c r="AJ716" s="46">
        <f>IF(AN716=0,M716,0)</f>
        <v>0</v>
      </c>
      <c r="AK716" s="46">
        <f>IF(AN716=15,M716,0)</f>
        <v>0</v>
      </c>
      <c r="AL716" s="46">
        <f>IF(AN716=21,M716,0)</f>
        <v>0</v>
      </c>
      <c r="AN716" s="46">
        <v>21</v>
      </c>
      <c r="AO716" s="46">
        <f>J716*0.322424038282553</f>
        <v>0</v>
      </c>
      <c r="AP716" s="46">
        <f>J716*(1-0.322424038282553)</f>
        <v>0</v>
      </c>
      <c r="AQ716" s="42" t="s">
        <v>1648</v>
      </c>
      <c r="AV716" s="46">
        <f>AW716+AX716</f>
        <v>0</v>
      </c>
      <c r="AW716" s="46">
        <f>I716*AO716</f>
        <v>0</v>
      </c>
      <c r="AX716" s="46">
        <f>I716*AP716</f>
        <v>0</v>
      </c>
      <c r="AY716" s="42" t="s">
        <v>132</v>
      </c>
      <c r="AZ716" s="42" t="s">
        <v>190</v>
      </c>
      <c r="BA716" s="1" t="s">
        <v>172</v>
      </c>
      <c r="BC716" s="46">
        <f>AW716+AX716</f>
        <v>0</v>
      </c>
      <c r="BD716" s="46">
        <f>J716/(100-BE716)*100</f>
        <v>0</v>
      </c>
      <c r="BE716" s="46">
        <v>0</v>
      </c>
      <c r="BF716" s="46">
        <f>716</f>
        <v>716</v>
      </c>
      <c r="BH716" s="46">
        <f>I716*AO716</f>
        <v>0</v>
      </c>
      <c r="BI716" s="46">
        <f>I716*AP716</f>
        <v>0</v>
      </c>
      <c r="BJ716" s="46">
        <f>I716*J716</f>
        <v>0</v>
      </c>
      <c r="BK716" s="46"/>
      <c r="BL716" s="46">
        <v>89</v>
      </c>
    </row>
    <row r="717" spans="1:15" ht="15" customHeight="1">
      <c r="A717" s="10"/>
      <c r="D717" s="32" t="s">
        <v>233</v>
      </c>
      <c r="G717" s="32" t="s">
        <v>991</v>
      </c>
      <c r="I717" s="58">
        <v>478.61</v>
      </c>
      <c r="O717" s="30"/>
    </row>
    <row r="718" spans="1:64" ht="15" customHeight="1">
      <c r="A718" s="52" t="s">
        <v>1523</v>
      </c>
      <c r="B718" s="43" t="s">
        <v>1668</v>
      </c>
      <c r="C718" s="43" t="s">
        <v>1191</v>
      </c>
      <c r="D718" s="61" t="s">
        <v>102</v>
      </c>
      <c r="E718" s="61"/>
      <c r="F718" s="61"/>
      <c r="G718" s="61"/>
      <c r="H718" s="43" t="s">
        <v>392</v>
      </c>
      <c r="I718" s="46">
        <v>2</v>
      </c>
      <c r="J718" s="46">
        <v>0</v>
      </c>
      <c r="K718" s="46">
        <f>I718*AO718</f>
        <v>0</v>
      </c>
      <c r="L718" s="46">
        <f>I718*AP718</f>
        <v>0</v>
      </c>
      <c r="M718" s="46">
        <f>I718*J718</f>
        <v>0</v>
      </c>
      <c r="N718" s="46">
        <v>0.00022</v>
      </c>
      <c r="O718" s="6" t="s">
        <v>1149</v>
      </c>
      <c r="Z718" s="46">
        <f>IF(AQ718="5",BJ718,0)</f>
        <v>0</v>
      </c>
      <c r="AB718" s="46">
        <f>IF(AQ718="1",BH718,0)</f>
        <v>0</v>
      </c>
      <c r="AC718" s="46">
        <f>IF(AQ718="1",BI718,0)</f>
        <v>0</v>
      </c>
      <c r="AD718" s="46">
        <f>IF(AQ718="7",BH718,0)</f>
        <v>0</v>
      </c>
      <c r="AE718" s="46">
        <f>IF(AQ718="7",BI718,0)</f>
        <v>0</v>
      </c>
      <c r="AF718" s="46">
        <f>IF(AQ718="2",BH718,0)</f>
        <v>0</v>
      </c>
      <c r="AG718" s="46">
        <f>IF(AQ718="2",BI718,0)</f>
        <v>0</v>
      </c>
      <c r="AH718" s="46">
        <f>IF(AQ718="0",BJ718,0)</f>
        <v>0</v>
      </c>
      <c r="AI718" s="1" t="s">
        <v>1668</v>
      </c>
      <c r="AJ718" s="46">
        <f>IF(AN718=0,M718,0)</f>
        <v>0</v>
      </c>
      <c r="AK718" s="46">
        <f>IF(AN718=15,M718,0)</f>
        <v>0</v>
      </c>
      <c r="AL718" s="46">
        <f>IF(AN718=21,M718,0)</f>
        <v>0</v>
      </c>
      <c r="AN718" s="46">
        <v>21</v>
      </c>
      <c r="AO718" s="46">
        <f>J718*0.117775377969762</f>
        <v>0</v>
      </c>
      <c r="AP718" s="46">
        <f>J718*(1-0.117775377969762)</f>
        <v>0</v>
      </c>
      <c r="AQ718" s="42" t="s">
        <v>1648</v>
      </c>
      <c r="AV718" s="46">
        <f>AW718+AX718</f>
        <v>0</v>
      </c>
      <c r="AW718" s="46">
        <f>I718*AO718</f>
        <v>0</v>
      </c>
      <c r="AX718" s="46">
        <f>I718*AP718</f>
        <v>0</v>
      </c>
      <c r="AY718" s="42" t="s">
        <v>132</v>
      </c>
      <c r="AZ718" s="42" t="s">
        <v>190</v>
      </c>
      <c r="BA718" s="1" t="s">
        <v>172</v>
      </c>
      <c r="BC718" s="46">
        <f>AW718+AX718</f>
        <v>0</v>
      </c>
      <c r="BD718" s="46">
        <f>J718/(100-BE718)*100</f>
        <v>0</v>
      </c>
      <c r="BE718" s="46">
        <v>0</v>
      </c>
      <c r="BF718" s="46">
        <f>718</f>
        <v>718</v>
      </c>
      <c r="BH718" s="46">
        <f>I718*AO718</f>
        <v>0</v>
      </c>
      <c r="BI718" s="46">
        <f>I718*AP718</f>
        <v>0</v>
      </c>
      <c r="BJ718" s="46">
        <f>I718*J718</f>
        <v>0</v>
      </c>
      <c r="BK718" s="46"/>
      <c r="BL718" s="46">
        <v>89</v>
      </c>
    </row>
    <row r="719" spans="1:15" ht="15" customHeight="1">
      <c r="A719" s="10"/>
      <c r="D719" s="32" t="s">
        <v>1157</v>
      </c>
      <c r="G719" s="32" t="s">
        <v>1593</v>
      </c>
      <c r="I719" s="58">
        <v>2</v>
      </c>
      <c r="O719" s="30"/>
    </row>
    <row r="720" spans="1:64" ht="15" customHeight="1">
      <c r="A720" s="52" t="s">
        <v>1813</v>
      </c>
      <c r="B720" s="43" t="s">
        <v>1668</v>
      </c>
      <c r="C720" s="43" t="s">
        <v>358</v>
      </c>
      <c r="D720" s="61" t="s">
        <v>333</v>
      </c>
      <c r="E720" s="61"/>
      <c r="F720" s="61"/>
      <c r="G720" s="61"/>
      <c r="H720" s="43" t="s">
        <v>392</v>
      </c>
      <c r="I720" s="46">
        <v>6</v>
      </c>
      <c r="J720" s="46">
        <v>0</v>
      </c>
      <c r="K720" s="46">
        <f>I720*AO720</f>
        <v>0</v>
      </c>
      <c r="L720" s="46">
        <f>I720*AP720</f>
        <v>0</v>
      </c>
      <c r="M720" s="46">
        <f>I720*J720</f>
        <v>0</v>
      </c>
      <c r="N720" s="46">
        <v>0.00041</v>
      </c>
      <c r="O720" s="6" t="s">
        <v>1149</v>
      </c>
      <c r="Z720" s="46">
        <f>IF(AQ720="5",BJ720,0)</f>
        <v>0</v>
      </c>
      <c r="AB720" s="46">
        <f>IF(AQ720="1",BH720,0)</f>
        <v>0</v>
      </c>
      <c r="AC720" s="46">
        <f>IF(AQ720="1",BI720,0)</f>
        <v>0</v>
      </c>
      <c r="AD720" s="46">
        <f>IF(AQ720="7",BH720,0)</f>
        <v>0</v>
      </c>
      <c r="AE720" s="46">
        <f>IF(AQ720="7",BI720,0)</f>
        <v>0</v>
      </c>
      <c r="AF720" s="46">
        <f>IF(AQ720="2",BH720,0)</f>
        <v>0</v>
      </c>
      <c r="AG720" s="46">
        <f>IF(AQ720="2",BI720,0)</f>
        <v>0</v>
      </c>
      <c r="AH720" s="46">
        <f>IF(AQ720="0",BJ720,0)</f>
        <v>0</v>
      </c>
      <c r="AI720" s="1" t="s">
        <v>1668</v>
      </c>
      <c r="AJ720" s="46">
        <f>IF(AN720=0,M720,0)</f>
        <v>0</v>
      </c>
      <c r="AK720" s="46">
        <f>IF(AN720=15,M720,0)</f>
        <v>0</v>
      </c>
      <c r="AL720" s="46">
        <f>IF(AN720=21,M720,0)</f>
        <v>0</v>
      </c>
      <c r="AN720" s="46">
        <v>21</v>
      </c>
      <c r="AO720" s="46">
        <f>J720*0.171815878378378</f>
        <v>0</v>
      </c>
      <c r="AP720" s="46">
        <f>J720*(1-0.171815878378378)</f>
        <v>0</v>
      </c>
      <c r="AQ720" s="42" t="s">
        <v>1648</v>
      </c>
      <c r="AV720" s="46">
        <f>AW720+AX720</f>
        <v>0</v>
      </c>
      <c r="AW720" s="46">
        <f>I720*AO720</f>
        <v>0</v>
      </c>
      <c r="AX720" s="46">
        <f>I720*AP720</f>
        <v>0</v>
      </c>
      <c r="AY720" s="42" t="s">
        <v>132</v>
      </c>
      <c r="AZ720" s="42" t="s">
        <v>190</v>
      </c>
      <c r="BA720" s="1" t="s">
        <v>172</v>
      </c>
      <c r="BC720" s="46">
        <f>AW720+AX720</f>
        <v>0</v>
      </c>
      <c r="BD720" s="46">
        <f>J720/(100-BE720)*100</f>
        <v>0</v>
      </c>
      <c r="BE720" s="46">
        <v>0</v>
      </c>
      <c r="BF720" s="46">
        <f>720</f>
        <v>720</v>
      </c>
      <c r="BH720" s="46">
        <f>I720*AO720</f>
        <v>0</v>
      </c>
      <c r="BI720" s="46">
        <f>I720*AP720</f>
        <v>0</v>
      </c>
      <c r="BJ720" s="46">
        <f>I720*J720</f>
        <v>0</v>
      </c>
      <c r="BK720" s="46"/>
      <c r="BL720" s="46">
        <v>89</v>
      </c>
    </row>
    <row r="721" spans="1:64" ht="15" customHeight="1">
      <c r="A721" s="52" t="s">
        <v>1216</v>
      </c>
      <c r="B721" s="43" t="s">
        <v>1668</v>
      </c>
      <c r="C721" s="43" t="s">
        <v>1877</v>
      </c>
      <c r="D721" s="61" t="s">
        <v>224</v>
      </c>
      <c r="E721" s="61"/>
      <c r="F721" s="61"/>
      <c r="G721" s="61"/>
      <c r="H721" s="43" t="s">
        <v>392</v>
      </c>
      <c r="I721" s="46">
        <v>6</v>
      </c>
      <c r="J721" s="46">
        <v>0</v>
      </c>
      <c r="K721" s="46">
        <f>I721*AO721</f>
        <v>0</v>
      </c>
      <c r="L721" s="46">
        <f>I721*AP721</f>
        <v>0</v>
      </c>
      <c r="M721" s="46">
        <f>I721*J721</f>
        <v>0</v>
      </c>
      <c r="N721" s="46">
        <v>0.0245</v>
      </c>
      <c r="O721" s="6" t="s">
        <v>1149</v>
      </c>
      <c r="Z721" s="46">
        <f>IF(AQ721="5",BJ721,0)</f>
        <v>0</v>
      </c>
      <c r="AB721" s="46">
        <f>IF(AQ721="1",BH721,0)</f>
        <v>0</v>
      </c>
      <c r="AC721" s="46">
        <f>IF(AQ721="1",BI721,0)</f>
        <v>0</v>
      </c>
      <c r="AD721" s="46">
        <f>IF(AQ721="7",BH721,0)</f>
        <v>0</v>
      </c>
      <c r="AE721" s="46">
        <f>IF(AQ721="7",BI721,0)</f>
        <v>0</v>
      </c>
      <c r="AF721" s="46">
        <f>IF(AQ721="2",BH721,0)</f>
        <v>0</v>
      </c>
      <c r="AG721" s="46">
        <f>IF(AQ721="2",BI721,0)</f>
        <v>0</v>
      </c>
      <c r="AH721" s="46">
        <f>IF(AQ721="0",BJ721,0)</f>
        <v>0</v>
      </c>
      <c r="AI721" s="1" t="s">
        <v>1668</v>
      </c>
      <c r="AJ721" s="46">
        <f>IF(AN721=0,M721,0)</f>
        <v>0</v>
      </c>
      <c r="AK721" s="46">
        <f>IF(AN721=15,M721,0)</f>
        <v>0</v>
      </c>
      <c r="AL721" s="46">
        <f>IF(AN721=21,M721,0)</f>
        <v>0</v>
      </c>
      <c r="AN721" s="46">
        <v>21</v>
      </c>
      <c r="AO721" s="46">
        <f>J721*1</f>
        <v>0</v>
      </c>
      <c r="AP721" s="46">
        <f>J721*(1-1)</f>
        <v>0</v>
      </c>
      <c r="AQ721" s="42" t="s">
        <v>1648</v>
      </c>
      <c r="AV721" s="46">
        <f>AW721+AX721</f>
        <v>0</v>
      </c>
      <c r="AW721" s="46">
        <f>I721*AO721</f>
        <v>0</v>
      </c>
      <c r="AX721" s="46">
        <f>I721*AP721</f>
        <v>0</v>
      </c>
      <c r="AY721" s="42" t="s">
        <v>132</v>
      </c>
      <c r="AZ721" s="42" t="s">
        <v>190</v>
      </c>
      <c r="BA721" s="1" t="s">
        <v>172</v>
      </c>
      <c r="BC721" s="46">
        <f>AW721+AX721</f>
        <v>0</v>
      </c>
      <c r="BD721" s="46">
        <f>J721/(100-BE721)*100</f>
        <v>0</v>
      </c>
      <c r="BE721" s="46">
        <v>0</v>
      </c>
      <c r="BF721" s="46">
        <f>721</f>
        <v>721</v>
      </c>
      <c r="BH721" s="46">
        <f>I721*AO721</f>
        <v>0</v>
      </c>
      <c r="BI721" s="46">
        <f>I721*AP721</f>
        <v>0</v>
      </c>
      <c r="BJ721" s="46">
        <f>I721*J721</f>
        <v>0</v>
      </c>
      <c r="BK721" s="46"/>
      <c r="BL721" s="46">
        <v>89</v>
      </c>
    </row>
    <row r="722" spans="1:64" ht="15" customHeight="1">
      <c r="A722" s="52" t="s">
        <v>1364</v>
      </c>
      <c r="B722" s="43" t="s">
        <v>1668</v>
      </c>
      <c r="C722" s="43" t="s">
        <v>795</v>
      </c>
      <c r="D722" s="61" t="s">
        <v>1221</v>
      </c>
      <c r="E722" s="61"/>
      <c r="F722" s="61"/>
      <c r="G722" s="61"/>
      <c r="H722" s="43" t="s">
        <v>392</v>
      </c>
      <c r="I722" s="46">
        <v>6</v>
      </c>
      <c r="J722" s="46">
        <v>0</v>
      </c>
      <c r="K722" s="46">
        <f>I722*AO722</f>
        <v>0</v>
      </c>
      <c r="L722" s="46">
        <f>I722*AP722</f>
        <v>0</v>
      </c>
      <c r="M722" s="46">
        <f>I722*J722</f>
        <v>0</v>
      </c>
      <c r="N722" s="46">
        <v>0</v>
      </c>
      <c r="O722" s="6" t="s">
        <v>1149</v>
      </c>
      <c r="Z722" s="46">
        <f>IF(AQ722="5",BJ722,0)</f>
        <v>0</v>
      </c>
      <c r="AB722" s="46">
        <f>IF(AQ722="1",BH722,0)</f>
        <v>0</v>
      </c>
      <c r="AC722" s="46">
        <f>IF(AQ722="1",BI722,0)</f>
        <v>0</v>
      </c>
      <c r="AD722" s="46">
        <f>IF(AQ722="7",BH722,0)</f>
        <v>0</v>
      </c>
      <c r="AE722" s="46">
        <f>IF(AQ722="7",BI722,0)</f>
        <v>0</v>
      </c>
      <c r="AF722" s="46">
        <f>IF(AQ722="2",BH722,0)</f>
        <v>0</v>
      </c>
      <c r="AG722" s="46">
        <f>IF(AQ722="2",BI722,0)</f>
        <v>0</v>
      </c>
      <c r="AH722" s="46">
        <f>IF(AQ722="0",BJ722,0)</f>
        <v>0</v>
      </c>
      <c r="AI722" s="1" t="s">
        <v>1668</v>
      </c>
      <c r="AJ722" s="46">
        <f>IF(AN722=0,M722,0)</f>
        <v>0</v>
      </c>
      <c r="AK722" s="46">
        <f>IF(AN722=15,M722,0)</f>
        <v>0</v>
      </c>
      <c r="AL722" s="46">
        <f>IF(AN722=21,M722,0)</f>
        <v>0</v>
      </c>
      <c r="AN722" s="46">
        <v>21</v>
      </c>
      <c r="AO722" s="46">
        <f>J722*1</f>
        <v>0</v>
      </c>
      <c r="AP722" s="46">
        <f>J722*(1-1)</f>
        <v>0</v>
      </c>
      <c r="AQ722" s="42" t="s">
        <v>1648</v>
      </c>
      <c r="AV722" s="46">
        <f>AW722+AX722</f>
        <v>0</v>
      </c>
      <c r="AW722" s="46">
        <f>I722*AO722</f>
        <v>0</v>
      </c>
      <c r="AX722" s="46">
        <f>I722*AP722</f>
        <v>0</v>
      </c>
      <c r="AY722" s="42" t="s">
        <v>132</v>
      </c>
      <c r="AZ722" s="42" t="s">
        <v>190</v>
      </c>
      <c r="BA722" s="1" t="s">
        <v>172</v>
      </c>
      <c r="BC722" s="46">
        <f>AW722+AX722</f>
        <v>0</v>
      </c>
      <c r="BD722" s="46">
        <f>J722/(100-BE722)*100</f>
        <v>0</v>
      </c>
      <c r="BE722" s="46">
        <v>0</v>
      </c>
      <c r="BF722" s="46">
        <f>722</f>
        <v>722</v>
      </c>
      <c r="BH722" s="46">
        <f>I722*AO722</f>
        <v>0</v>
      </c>
      <c r="BI722" s="46">
        <f>I722*AP722</f>
        <v>0</v>
      </c>
      <c r="BJ722" s="46">
        <f>I722*J722</f>
        <v>0</v>
      </c>
      <c r="BK722" s="46"/>
      <c r="BL722" s="46">
        <v>89</v>
      </c>
    </row>
    <row r="723" spans="1:15" ht="15" customHeight="1">
      <c r="A723" s="10"/>
      <c r="D723" s="32" t="s">
        <v>269</v>
      </c>
      <c r="G723" s="32" t="s">
        <v>396</v>
      </c>
      <c r="I723" s="58">
        <v>6.000000000000001</v>
      </c>
      <c r="O723" s="30"/>
    </row>
    <row r="724" spans="1:64" ht="15" customHeight="1">
      <c r="A724" s="52" t="s">
        <v>1129</v>
      </c>
      <c r="B724" s="43" t="s">
        <v>1668</v>
      </c>
      <c r="C724" s="43" t="s">
        <v>1309</v>
      </c>
      <c r="D724" s="61" t="s">
        <v>212</v>
      </c>
      <c r="E724" s="61"/>
      <c r="F724" s="61"/>
      <c r="G724" s="61"/>
      <c r="H724" s="43" t="s">
        <v>392</v>
      </c>
      <c r="I724" s="46">
        <v>55</v>
      </c>
      <c r="J724" s="46">
        <v>0</v>
      </c>
      <c r="K724" s="46">
        <f>I724*AO724</f>
        <v>0</v>
      </c>
      <c r="L724" s="46">
        <f>I724*AP724</f>
        <v>0</v>
      </c>
      <c r="M724" s="46">
        <f>I724*J724</f>
        <v>0</v>
      </c>
      <c r="N724" s="46">
        <v>0.12303</v>
      </c>
      <c r="O724" s="6" t="s">
        <v>1149</v>
      </c>
      <c r="Z724" s="46">
        <f>IF(AQ724="5",BJ724,0)</f>
        <v>0</v>
      </c>
      <c r="AB724" s="46">
        <f>IF(AQ724="1",BH724,0)</f>
        <v>0</v>
      </c>
      <c r="AC724" s="46">
        <f>IF(AQ724="1",BI724,0)</f>
        <v>0</v>
      </c>
      <c r="AD724" s="46">
        <f>IF(AQ724="7",BH724,0)</f>
        <v>0</v>
      </c>
      <c r="AE724" s="46">
        <f>IF(AQ724="7",BI724,0)</f>
        <v>0</v>
      </c>
      <c r="AF724" s="46">
        <f>IF(AQ724="2",BH724,0)</f>
        <v>0</v>
      </c>
      <c r="AG724" s="46">
        <f>IF(AQ724="2",BI724,0)</f>
        <v>0</v>
      </c>
      <c r="AH724" s="46">
        <f>IF(AQ724="0",BJ724,0)</f>
        <v>0</v>
      </c>
      <c r="AI724" s="1" t="s">
        <v>1668</v>
      </c>
      <c r="AJ724" s="46">
        <f>IF(AN724=0,M724,0)</f>
        <v>0</v>
      </c>
      <c r="AK724" s="46">
        <f>IF(AN724=15,M724,0)</f>
        <v>0</v>
      </c>
      <c r="AL724" s="46">
        <f>IF(AN724=21,M724,0)</f>
        <v>0</v>
      </c>
      <c r="AN724" s="46">
        <v>21</v>
      </c>
      <c r="AO724" s="46">
        <f>J724*0.395904486251809</f>
        <v>0</v>
      </c>
      <c r="AP724" s="46">
        <f>J724*(1-0.395904486251809)</f>
        <v>0</v>
      </c>
      <c r="AQ724" s="42" t="s">
        <v>1648</v>
      </c>
      <c r="AV724" s="46">
        <f>AW724+AX724</f>
        <v>0</v>
      </c>
      <c r="AW724" s="46">
        <f>I724*AO724</f>
        <v>0</v>
      </c>
      <c r="AX724" s="46">
        <f>I724*AP724</f>
        <v>0</v>
      </c>
      <c r="AY724" s="42" t="s">
        <v>132</v>
      </c>
      <c r="AZ724" s="42" t="s">
        <v>190</v>
      </c>
      <c r="BA724" s="1" t="s">
        <v>172</v>
      </c>
      <c r="BC724" s="46">
        <f>AW724+AX724</f>
        <v>0</v>
      </c>
      <c r="BD724" s="46">
        <f>J724/(100-BE724)*100</f>
        <v>0</v>
      </c>
      <c r="BE724" s="46">
        <v>0</v>
      </c>
      <c r="BF724" s="46">
        <f>724</f>
        <v>724</v>
      </c>
      <c r="BH724" s="46">
        <f>I724*AO724</f>
        <v>0</v>
      </c>
      <c r="BI724" s="46">
        <f>I724*AP724</f>
        <v>0</v>
      </c>
      <c r="BJ724" s="46">
        <f>I724*J724</f>
        <v>0</v>
      </c>
      <c r="BK724" s="46"/>
      <c r="BL724" s="46">
        <v>89</v>
      </c>
    </row>
    <row r="725" spans="1:15" ht="15" customHeight="1">
      <c r="A725" s="10"/>
      <c r="D725" s="32" t="s">
        <v>1716</v>
      </c>
      <c r="G725" s="32" t="s">
        <v>378</v>
      </c>
      <c r="I725" s="58">
        <v>55.00000000000001</v>
      </c>
      <c r="O725" s="30"/>
    </row>
    <row r="726" spans="1:64" ht="15" customHeight="1">
      <c r="A726" s="52" t="s">
        <v>926</v>
      </c>
      <c r="B726" s="43" t="s">
        <v>1668</v>
      </c>
      <c r="C726" s="43" t="s">
        <v>59</v>
      </c>
      <c r="D726" s="61" t="s">
        <v>1618</v>
      </c>
      <c r="E726" s="61"/>
      <c r="F726" s="61"/>
      <c r="G726" s="61"/>
      <c r="H726" s="43" t="s">
        <v>392</v>
      </c>
      <c r="I726" s="46">
        <v>29.5</v>
      </c>
      <c r="J726" s="46">
        <v>0</v>
      </c>
      <c r="K726" s="46">
        <f>I726*AO726</f>
        <v>0</v>
      </c>
      <c r="L726" s="46">
        <f>I726*AP726</f>
        <v>0</v>
      </c>
      <c r="M726" s="46">
        <f>I726*J726</f>
        <v>0</v>
      </c>
      <c r="N726" s="46">
        <v>0</v>
      </c>
      <c r="O726" s="6" t="s">
        <v>1149</v>
      </c>
      <c r="Z726" s="46">
        <f>IF(AQ726="5",BJ726,0)</f>
        <v>0</v>
      </c>
      <c r="AB726" s="46">
        <f>IF(AQ726="1",BH726,0)</f>
        <v>0</v>
      </c>
      <c r="AC726" s="46">
        <f>IF(AQ726="1",BI726,0)</f>
        <v>0</v>
      </c>
      <c r="AD726" s="46">
        <f>IF(AQ726="7",BH726,0)</f>
        <v>0</v>
      </c>
      <c r="AE726" s="46">
        <f>IF(AQ726="7",BI726,0)</f>
        <v>0</v>
      </c>
      <c r="AF726" s="46">
        <f>IF(AQ726="2",BH726,0)</f>
        <v>0</v>
      </c>
      <c r="AG726" s="46">
        <f>IF(AQ726="2",BI726,0)</f>
        <v>0</v>
      </c>
      <c r="AH726" s="46">
        <f>IF(AQ726="0",BJ726,0)</f>
        <v>0</v>
      </c>
      <c r="AI726" s="1" t="s">
        <v>1668</v>
      </c>
      <c r="AJ726" s="46">
        <f>IF(AN726=0,M726,0)</f>
        <v>0</v>
      </c>
      <c r="AK726" s="46">
        <f>IF(AN726=15,M726,0)</f>
        <v>0</v>
      </c>
      <c r="AL726" s="46">
        <f>IF(AN726=21,M726,0)</f>
        <v>0</v>
      </c>
      <c r="AN726" s="46">
        <v>21</v>
      </c>
      <c r="AO726" s="46">
        <f>J726*1</f>
        <v>0</v>
      </c>
      <c r="AP726" s="46">
        <f>J726*(1-1)</f>
        <v>0</v>
      </c>
      <c r="AQ726" s="42" t="s">
        <v>1648</v>
      </c>
      <c r="AV726" s="46">
        <f>AW726+AX726</f>
        <v>0</v>
      </c>
      <c r="AW726" s="46">
        <f>I726*AO726</f>
        <v>0</v>
      </c>
      <c r="AX726" s="46">
        <f>I726*AP726</f>
        <v>0</v>
      </c>
      <c r="AY726" s="42" t="s">
        <v>132</v>
      </c>
      <c r="AZ726" s="42" t="s">
        <v>190</v>
      </c>
      <c r="BA726" s="1" t="s">
        <v>172</v>
      </c>
      <c r="BC726" s="46">
        <f>AW726+AX726</f>
        <v>0</v>
      </c>
      <c r="BD726" s="46">
        <f>J726/(100-BE726)*100</f>
        <v>0</v>
      </c>
      <c r="BE726" s="46">
        <v>0</v>
      </c>
      <c r="BF726" s="46">
        <f>726</f>
        <v>726</v>
      </c>
      <c r="BH726" s="46">
        <f>I726*AO726</f>
        <v>0</v>
      </c>
      <c r="BI726" s="46">
        <f>I726*AP726</f>
        <v>0</v>
      </c>
      <c r="BJ726" s="46">
        <f>I726*J726</f>
        <v>0</v>
      </c>
      <c r="BK726" s="46"/>
      <c r="BL726" s="46">
        <v>89</v>
      </c>
    </row>
    <row r="727" spans="1:15" ht="15" customHeight="1">
      <c r="A727" s="10"/>
      <c r="D727" s="32" t="s">
        <v>269</v>
      </c>
      <c r="G727" s="32" t="s">
        <v>484</v>
      </c>
      <c r="I727" s="58">
        <v>6.000000000000001</v>
      </c>
      <c r="O727" s="30"/>
    </row>
    <row r="728" spans="1:15" ht="15" customHeight="1">
      <c r="A728" s="10"/>
      <c r="D728" s="32" t="s">
        <v>1220</v>
      </c>
      <c r="G728" s="32" t="s">
        <v>1171</v>
      </c>
      <c r="I728" s="58">
        <v>23.500000000000004</v>
      </c>
      <c r="O728" s="30"/>
    </row>
    <row r="729" spans="1:64" ht="15" customHeight="1">
      <c r="A729" s="52" t="s">
        <v>1293</v>
      </c>
      <c r="B729" s="43" t="s">
        <v>1668</v>
      </c>
      <c r="C729" s="43" t="s">
        <v>448</v>
      </c>
      <c r="D729" s="61" t="s">
        <v>444</v>
      </c>
      <c r="E729" s="61"/>
      <c r="F729" s="61"/>
      <c r="G729" s="61"/>
      <c r="H729" s="43" t="s">
        <v>392</v>
      </c>
      <c r="I729" s="46">
        <v>55</v>
      </c>
      <c r="J729" s="46">
        <v>0</v>
      </c>
      <c r="K729" s="46">
        <f>I729*AO729</f>
        <v>0</v>
      </c>
      <c r="L729" s="46">
        <f>I729*AP729</f>
        <v>0</v>
      </c>
      <c r="M729" s="46">
        <f>I729*J729</f>
        <v>0</v>
      </c>
      <c r="N729" s="46">
        <v>0</v>
      </c>
      <c r="O729" s="6" t="s">
        <v>1149</v>
      </c>
      <c r="Z729" s="46">
        <f>IF(AQ729="5",BJ729,0)</f>
        <v>0</v>
      </c>
      <c r="AB729" s="46">
        <f>IF(AQ729="1",BH729,0)</f>
        <v>0</v>
      </c>
      <c r="AC729" s="46">
        <f>IF(AQ729="1",BI729,0)</f>
        <v>0</v>
      </c>
      <c r="AD729" s="46">
        <f>IF(AQ729="7",BH729,0)</f>
        <v>0</v>
      </c>
      <c r="AE729" s="46">
        <f>IF(AQ729="7",BI729,0)</f>
        <v>0</v>
      </c>
      <c r="AF729" s="46">
        <f>IF(AQ729="2",BH729,0)</f>
        <v>0</v>
      </c>
      <c r="AG729" s="46">
        <f>IF(AQ729="2",BI729,0)</f>
        <v>0</v>
      </c>
      <c r="AH729" s="46">
        <f>IF(AQ729="0",BJ729,0)</f>
        <v>0</v>
      </c>
      <c r="AI729" s="1" t="s">
        <v>1668</v>
      </c>
      <c r="AJ729" s="46">
        <f>IF(AN729=0,M729,0)</f>
        <v>0</v>
      </c>
      <c r="AK729" s="46">
        <f>IF(AN729=15,M729,0)</f>
        <v>0</v>
      </c>
      <c r="AL729" s="46">
        <f>IF(AN729=21,M729,0)</f>
        <v>0</v>
      </c>
      <c r="AN729" s="46">
        <v>21</v>
      </c>
      <c r="AO729" s="46">
        <f>J729*1</f>
        <v>0</v>
      </c>
      <c r="AP729" s="46">
        <f>J729*(1-1)</f>
        <v>0</v>
      </c>
      <c r="AQ729" s="42" t="s">
        <v>1648</v>
      </c>
      <c r="AV729" s="46">
        <f>AW729+AX729</f>
        <v>0</v>
      </c>
      <c r="AW729" s="46">
        <f>I729*AO729</f>
        <v>0</v>
      </c>
      <c r="AX729" s="46">
        <f>I729*AP729</f>
        <v>0</v>
      </c>
      <c r="AY729" s="42" t="s">
        <v>132</v>
      </c>
      <c r="AZ729" s="42" t="s">
        <v>190</v>
      </c>
      <c r="BA729" s="1" t="s">
        <v>172</v>
      </c>
      <c r="BC729" s="46">
        <f>AW729+AX729</f>
        <v>0</v>
      </c>
      <c r="BD729" s="46">
        <f>J729/(100-BE729)*100</f>
        <v>0</v>
      </c>
      <c r="BE729" s="46">
        <v>0</v>
      </c>
      <c r="BF729" s="46">
        <f>729</f>
        <v>729</v>
      </c>
      <c r="BH729" s="46">
        <f>I729*AO729</f>
        <v>0</v>
      </c>
      <c r="BI729" s="46">
        <f>I729*AP729</f>
        <v>0</v>
      </c>
      <c r="BJ729" s="46">
        <f>I729*J729</f>
        <v>0</v>
      </c>
      <c r="BK729" s="46"/>
      <c r="BL729" s="46">
        <v>89</v>
      </c>
    </row>
    <row r="730" spans="1:15" ht="15" customHeight="1">
      <c r="A730" s="10"/>
      <c r="D730" s="32" t="s">
        <v>1716</v>
      </c>
      <c r="G730" s="32" t="s">
        <v>1163</v>
      </c>
      <c r="I730" s="58">
        <v>55.00000000000001</v>
      </c>
      <c r="O730" s="30"/>
    </row>
    <row r="731" spans="1:64" ht="15" customHeight="1">
      <c r="A731" s="52" t="s">
        <v>1274</v>
      </c>
      <c r="B731" s="43" t="s">
        <v>1668</v>
      </c>
      <c r="C731" s="43" t="s">
        <v>6</v>
      </c>
      <c r="D731" s="61" t="s">
        <v>1830</v>
      </c>
      <c r="E731" s="61"/>
      <c r="F731" s="61"/>
      <c r="G731" s="61"/>
      <c r="H731" s="43" t="s">
        <v>1365</v>
      </c>
      <c r="I731" s="46">
        <v>461.055</v>
      </c>
      <c r="J731" s="46">
        <v>0</v>
      </c>
      <c r="K731" s="46">
        <f>I731*AO731</f>
        <v>0</v>
      </c>
      <c r="L731" s="46">
        <f>I731*AP731</f>
        <v>0</v>
      </c>
      <c r="M731" s="46">
        <f>I731*J731</f>
        <v>0</v>
      </c>
      <c r="N731" s="46">
        <v>8E-05</v>
      </c>
      <c r="O731" s="6" t="s">
        <v>1149</v>
      </c>
      <c r="Z731" s="46">
        <f>IF(AQ731="5",BJ731,0)</f>
        <v>0</v>
      </c>
      <c r="AB731" s="46">
        <f>IF(AQ731="1",BH731,0)</f>
        <v>0</v>
      </c>
      <c r="AC731" s="46">
        <f>IF(AQ731="1",BI731,0)</f>
        <v>0</v>
      </c>
      <c r="AD731" s="46">
        <f>IF(AQ731="7",BH731,0)</f>
        <v>0</v>
      </c>
      <c r="AE731" s="46">
        <f>IF(AQ731="7",BI731,0)</f>
        <v>0</v>
      </c>
      <c r="AF731" s="46">
        <f>IF(AQ731="2",BH731,0)</f>
        <v>0</v>
      </c>
      <c r="AG731" s="46">
        <f>IF(AQ731="2",BI731,0)</f>
        <v>0</v>
      </c>
      <c r="AH731" s="46">
        <f>IF(AQ731="0",BJ731,0)</f>
        <v>0</v>
      </c>
      <c r="AI731" s="1" t="s">
        <v>1668</v>
      </c>
      <c r="AJ731" s="46">
        <f>IF(AN731=0,M731,0)</f>
        <v>0</v>
      </c>
      <c r="AK731" s="46">
        <f>IF(AN731=15,M731,0)</f>
        <v>0</v>
      </c>
      <c r="AL731" s="46">
        <f>IF(AN731=21,M731,0)</f>
        <v>0</v>
      </c>
      <c r="AN731" s="46">
        <v>21</v>
      </c>
      <c r="AO731" s="46">
        <f>J731*0.591899405480629</f>
        <v>0</v>
      </c>
      <c r="AP731" s="46">
        <f>J731*(1-0.591899405480629)</f>
        <v>0</v>
      </c>
      <c r="AQ731" s="42" t="s">
        <v>1648</v>
      </c>
      <c r="AV731" s="46">
        <f>AW731+AX731</f>
        <v>0</v>
      </c>
      <c r="AW731" s="46">
        <f>I731*AO731</f>
        <v>0</v>
      </c>
      <c r="AX731" s="46">
        <f>I731*AP731</f>
        <v>0</v>
      </c>
      <c r="AY731" s="42" t="s">
        <v>132</v>
      </c>
      <c r="AZ731" s="42" t="s">
        <v>190</v>
      </c>
      <c r="BA731" s="1" t="s">
        <v>172</v>
      </c>
      <c r="BC731" s="46">
        <f>AW731+AX731</f>
        <v>0</v>
      </c>
      <c r="BD731" s="46">
        <f>J731/(100-BE731)*100</f>
        <v>0</v>
      </c>
      <c r="BE731" s="46">
        <v>0</v>
      </c>
      <c r="BF731" s="46">
        <f>731</f>
        <v>731</v>
      </c>
      <c r="BH731" s="46">
        <f>I731*AO731</f>
        <v>0</v>
      </c>
      <c r="BI731" s="46">
        <f>I731*AP731</f>
        <v>0</v>
      </c>
      <c r="BJ731" s="46">
        <f>I731*J731</f>
        <v>0</v>
      </c>
      <c r="BK731" s="46"/>
      <c r="BL731" s="46">
        <v>89</v>
      </c>
    </row>
    <row r="732" spans="1:15" ht="15" customHeight="1">
      <c r="A732" s="10"/>
      <c r="D732" s="32" t="s">
        <v>10</v>
      </c>
      <c r="G732" s="32" t="s">
        <v>367</v>
      </c>
      <c r="I732" s="58">
        <v>461.05500000000006</v>
      </c>
      <c r="O732" s="30"/>
    </row>
    <row r="733" spans="1:64" ht="15" customHeight="1">
      <c r="A733" s="52" t="s">
        <v>579</v>
      </c>
      <c r="B733" s="43" t="s">
        <v>1668</v>
      </c>
      <c r="C733" s="43" t="s">
        <v>1571</v>
      </c>
      <c r="D733" s="61" t="s">
        <v>643</v>
      </c>
      <c r="E733" s="61"/>
      <c r="F733" s="61"/>
      <c r="G733" s="61"/>
      <c r="H733" s="43" t="s">
        <v>392</v>
      </c>
      <c r="I733" s="46">
        <v>2</v>
      </c>
      <c r="J733" s="46">
        <v>0</v>
      </c>
      <c r="K733" s="46">
        <f>I733*AO733</f>
        <v>0</v>
      </c>
      <c r="L733" s="46">
        <f>I733*AP733</f>
        <v>0</v>
      </c>
      <c r="M733" s="46">
        <f>I733*J733</f>
        <v>0</v>
      </c>
      <c r="N733" s="46">
        <v>0.00011</v>
      </c>
      <c r="O733" s="6" t="s">
        <v>1149</v>
      </c>
      <c r="Z733" s="46">
        <f>IF(AQ733="5",BJ733,0)</f>
        <v>0</v>
      </c>
      <c r="AB733" s="46">
        <f>IF(AQ733="1",BH733,0)</f>
        <v>0</v>
      </c>
      <c r="AC733" s="46">
        <f>IF(AQ733="1",BI733,0)</f>
        <v>0</v>
      </c>
      <c r="AD733" s="46">
        <f>IF(AQ733="7",BH733,0)</f>
        <v>0</v>
      </c>
      <c r="AE733" s="46">
        <f>IF(AQ733="7",BI733,0)</f>
        <v>0</v>
      </c>
      <c r="AF733" s="46">
        <f>IF(AQ733="2",BH733,0)</f>
        <v>0</v>
      </c>
      <c r="AG733" s="46">
        <f>IF(AQ733="2",BI733,0)</f>
        <v>0</v>
      </c>
      <c r="AH733" s="46">
        <f>IF(AQ733="0",BJ733,0)</f>
        <v>0</v>
      </c>
      <c r="AI733" s="1" t="s">
        <v>1668</v>
      </c>
      <c r="AJ733" s="46">
        <f>IF(AN733=0,M733,0)</f>
        <v>0</v>
      </c>
      <c r="AK733" s="46">
        <f>IF(AN733=15,M733,0)</f>
        <v>0</v>
      </c>
      <c r="AL733" s="46">
        <f>IF(AN733=21,M733,0)</f>
        <v>0</v>
      </c>
      <c r="AN733" s="46">
        <v>21</v>
      </c>
      <c r="AO733" s="46">
        <f>J733*0.119145108991503</f>
        <v>0</v>
      </c>
      <c r="AP733" s="46">
        <f>J733*(1-0.119145108991503)</f>
        <v>0</v>
      </c>
      <c r="AQ733" s="42" t="s">
        <v>1648</v>
      </c>
      <c r="AV733" s="46">
        <f>AW733+AX733</f>
        <v>0</v>
      </c>
      <c r="AW733" s="46">
        <f>I733*AO733</f>
        <v>0</v>
      </c>
      <c r="AX733" s="46">
        <f>I733*AP733</f>
        <v>0</v>
      </c>
      <c r="AY733" s="42" t="s">
        <v>132</v>
      </c>
      <c r="AZ733" s="42" t="s">
        <v>190</v>
      </c>
      <c r="BA733" s="1" t="s">
        <v>172</v>
      </c>
      <c r="BC733" s="46">
        <f>AW733+AX733</f>
        <v>0</v>
      </c>
      <c r="BD733" s="46">
        <f>J733/(100-BE733)*100</f>
        <v>0</v>
      </c>
      <c r="BE733" s="46">
        <v>0</v>
      </c>
      <c r="BF733" s="46">
        <f>733</f>
        <v>733</v>
      </c>
      <c r="BH733" s="46">
        <f>I733*AO733</f>
        <v>0</v>
      </c>
      <c r="BI733" s="46">
        <f>I733*AP733</f>
        <v>0</v>
      </c>
      <c r="BJ733" s="46">
        <f>I733*J733</f>
        <v>0</v>
      </c>
      <c r="BK733" s="46"/>
      <c r="BL733" s="46">
        <v>89</v>
      </c>
    </row>
    <row r="734" spans="1:15" ht="15" customHeight="1">
      <c r="A734" s="10"/>
      <c r="D734" s="32" t="s">
        <v>1157</v>
      </c>
      <c r="G734" s="32" t="s">
        <v>103</v>
      </c>
      <c r="I734" s="58">
        <v>2</v>
      </c>
      <c r="O734" s="30"/>
    </row>
    <row r="735" spans="1:64" ht="15" customHeight="1">
      <c r="A735" s="52" t="s">
        <v>628</v>
      </c>
      <c r="B735" s="43" t="s">
        <v>1668</v>
      </c>
      <c r="C735" s="43" t="s">
        <v>1208</v>
      </c>
      <c r="D735" s="61" t="s">
        <v>576</v>
      </c>
      <c r="E735" s="61"/>
      <c r="F735" s="61"/>
      <c r="G735" s="61"/>
      <c r="H735" s="43" t="s">
        <v>392</v>
      </c>
      <c r="I735" s="46">
        <v>2</v>
      </c>
      <c r="J735" s="46">
        <v>0</v>
      </c>
      <c r="K735" s="46">
        <f>I735*AO735</f>
        <v>0</v>
      </c>
      <c r="L735" s="46">
        <f>I735*AP735</f>
        <v>0</v>
      </c>
      <c r="M735" s="46">
        <f>I735*J735</f>
        <v>0</v>
      </c>
      <c r="N735" s="46">
        <v>0.32906</v>
      </c>
      <c r="O735" s="6" t="s">
        <v>1149</v>
      </c>
      <c r="Z735" s="46">
        <f>IF(AQ735="5",BJ735,0)</f>
        <v>0</v>
      </c>
      <c r="AB735" s="46">
        <f>IF(AQ735="1",BH735,0)</f>
        <v>0</v>
      </c>
      <c r="AC735" s="46">
        <f>IF(AQ735="1",BI735,0)</f>
        <v>0</v>
      </c>
      <c r="AD735" s="46">
        <f>IF(AQ735="7",BH735,0)</f>
        <v>0</v>
      </c>
      <c r="AE735" s="46">
        <f>IF(AQ735="7",BI735,0)</f>
        <v>0</v>
      </c>
      <c r="AF735" s="46">
        <f>IF(AQ735="2",BH735,0)</f>
        <v>0</v>
      </c>
      <c r="AG735" s="46">
        <f>IF(AQ735="2",BI735,0)</f>
        <v>0</v>
      </c>
      <c r="AH735" s="46">
        <f>IF(AQ735="0",BJ735,0)</f>
        <v>0</v>
      </c>
      <c r="AI735" s="1" t="s">
        <v>1668</v>
      </c>
      <c r="AJ735" s="46">
        <f>IF(AN735=0,M735,0)</f>
        <v>0</v>
      </c>
      <c r="AK735" s="46">
        <f>IF(AN735=15,M735,0)</f>
        <v>0</v>
      </c>
      <c r="AL735" s="46">
        <f>IF(AN735=21,M735,0)</f>
        <v>0</v>
      </c>
      <c r="AN735" s="46">
        <v>21</v>
      </c>
      <c r="AO735" s="46">
        <f>J735*0.559852502674527</f>
        <v>0</v>
      </c>
      <c r="AP735" s="46">
        <f>J735*(1-0.559852502674527)</f>
        <v>0</v>
      </c>
      <c r="AQ735" s="42" t="s">
        <v>1648</v>
      </c>
      <c r="AV735" s="46">
        <f>AW735+AX735</f>
        <v>0</v>
      </c>
      <c r="AW735" s="46">
        <f>I735*AO735</f>
        <v>0</v>
      </c>
      <c r="AX735" s="46">
        <f>I735*AP735</f>
        <v>0</v>
      </c>
      <c r="AY735" s="42" t="s">
        <v>132</v>
      </c>
      <c r="AZ735" s="42" t="s">
        <v>190</v>
      </c>
      <c r="BA735" s="1" t="s">
        <v>172</v>
      </c>
      <c r="BC735" s="46">
        <f>AW735+AX735</f>
        <v>0</v>
      </c>
      <c r="BD735" s="46">
        <f>J735/(100-BE735)*100</f>
        <v>0</v>
      </c>
      <c r="BE735" s="46">
        <v>0</v>
      </c>
      <c r="BF735" s="46">
        <f>735</f>
        <v>735</v>
      </c>
      <c r="BH735" s="46">
        <f>I735*AO735</f>
        <v>0</v>
      </c>
      <c r="BI735" s="46">
        <f>I735*AP735</f>
        <v>0</v>
      </c>
      <c r="BJ735" s="46">
        <f>I735*J735</f>
        <v>0</v>
      </c>
      <c r="BK735" s="46"/>
      <c r="BL735" s="46">
        <v>89</v>
      </c>
    </row>
    <row r="736" spans="1:64" ht="15" customHeight="1">
      <c r="A736" s="52" t="s">
        <v>1662</v>
      </c>
      <c r="B736" s="43" t="s">
        <v>1668</v>
      </c>
      <c r="C736" s="43" t="s">
        <v>1387</v>
      </c>
      <c r="D736" s="61" t="s">
        <v>1789</v>
      </c>
      <c r="E736" s="61"/>
      <c r="F736" s="61"/>
      <c r="G736" s="61"/>
      <c r="H736" s="43" t="s">
        <v>392</v>
      </c>
      <c r="I736" s="46">
        <v>2</v>
      </c>
      <c r="J736" s="46">
        <v>0</v>
      </c>
      <c r="K736" s="46">
        <f>I736*AO736</f>
        <v>0</v>
      </c>
      <c r="L736" s="46">
        <f>I736*AP736</f>
        <v>0</v>
      </c>
      <c r="M736" s="46">
        <f>I736*J736</f>
        <v>0</v>
      </c>
      <c r="N736" s="46">
        <v>0.0019</v>
      </c>
      <c r="O736" s="6" t="s">
        <v>1149</v>
      </c>
      <c r="Z736" s="46">
        <f>IF(AQ736="5",BJ736,0)</f>
        <v>0</v>
      </c>
      <c r="AB736" s="46">
        <f>IF(AQ736="1",BH736,0)</f>
        <v>0</v>
      </c>
      <c r="AC736" s="46">
        <f>IF(AQ736="1",BI736,0)</f>
        <v>0</v>
      </c>
      <c r="AD736" s="46">
        <f>IF(AQ736="7",BH736,0)</f>
        <v>0</v>
      </c>
      <c r="AE736" s="46">
        <f>IF(AQ736="7",BI736,0)</f>
        <v>0</v>
      </c>
      <c r="AF736" s="46">
        <f>IF(AQ736="2",BH736,0)</f>
        <v>0</v>
      </c>
      <c r="AG736" s="46">
        <f>IF(AQ736="2",BI736,0)</f>
        <v>0</v>
      </c>
      <c r="AH736" s="46">
        <f>IF(AQ736="0",BJ736,0)</f>
        <v>0</v>
      </c>
      <c r="AI736" s="1" t="s">
        <v>1668</v>
      </c>
      <c r="AJ736" s="46">
        <f>IF(AN736=0,M736,0)</f>
        <v>0</v>
      </c>
      <c r="AK736" s="46">
        <f>IF(AN736=15,M736,0)</f>
        <v>0</v>
      </c>
      <c r="AL736" s="46">
        <f>IF(AN736=21,M736,0)</f>
        <v>0</v>
      </c>
      <c r="AN736" s="46">
        <v>21</v>
      </c>
      <c r="AO736" s="46">
        <f>J736*1</f>
        <v>0</v>
      </c>
      <c r="AP736" s="46">
        <f>J736*(1-1)</f>
        <v>0</v>
      </c>
      <c r="AQ736" s="42" t="s">
        <v>1648</v>
      </c>
      <c r="AV736" s="46">
        <f>AW736+AX736</f>
        <v>0</v>
      </c>
      <c r="AW736" s="46">
        <f>I736*AO736</f>
        <v>0</v>
      </c>
      <c r="AX736" s="46">
        <f>I736*AP736</f>
        <v>0</v>
      </c>
      <c r="AY736" s="42" t="s">
        <v>132</v>
      </c>
      <c r="AZ736" s="42" t="s">
        <v>190</v>
      </c>
      <c r="BA736" s="1" t="s">
        <v>172</v>
      </c>
      <c r="BC736" s="46">
        <f>AW736+AX736</f>
        <v>0</v>
      </c>
      <c r="BD736" s="46">
        <f>J736/(100-BE736)*100</f>
        <v>0</v>
      </c>
      <c r="BE736" s="46">
        <v>0</v>
      </c>
      <c r="BF736" s="46">
        <f>736</f>
        <v>736</v>
      </c>
      <c r="BH736" s="46">
        <f>I736*AO736</f>
        <v>0</v>
      </c>
      <c r="BI736" s="46">
        <f>I736*AP736</f>
        <v>0</v>
      </c>
      <c r="BJ736" s="46">
        <f>I736*J736</f>
        <v>0</v>
      </c>
      <c r="BK736" s="46"/>
      <c r="BL736" s="46">
        <v>89</v>
      </c>
    </row>
    <row r="737" spans="1:64" ht="15" customHeight="1">
      <c r="A737" s="52" t="s">
        <v>371</v>
      </c>
      <c r="B737" s="43" t="s">
        <v>1668</v>
      </c>
      <c r="C737" s="43" t="s">
        <v>1318</v>
      </c>
      <c r="D737" s="61" t="s">
        <v>1058</v>
      </c>
      <c r="E737" s="61"/>
      <c r="F737" s="61"/>
      <c r="G737" s="61"/>
      <c r="H737" s="43" t="s">
        <v>392</v>
      </c>
      <c r="I737" s="46">
        <v>1</v>
      </c>
      <c r="J737" s="46">
        <v>0</v>
      </c>
      <c r="K737" s="46">
        <f>I737*AO737</f>
        <v>0</v>
      </c>
      <c r="L737" s="46">
        <f>I737*AP737</f>
        <v>0</v>
      </c>
      <c r="M737" s="46">
        <f>I737*J737</f>
        <v>0</v>
      </c>
      <c r="N737" s="46">
        <v>0.032</v>
      </c>
      <c r="O737" s="6" t="s">
        <v>1149</v>
      </c>
      <c r="Z737" s="46">
        <f>IF(AQ737="5",BJ737,0)</f>
        <v>0</v>
      </c>
      <c r="AB737" s="46">
        <f>IF(AQ737="1",BH737,0)</f>
        <v>0</v>
      </c>
      <c r="AC737" s="46">
        <f>IF(AQ737="1",BI737,0)</f>
        <v>0</v>
      </c>
      <c r="AD737" s="46">
        <f>IF(AQ737="7",BH737,0)</f>
        <v>0</v>
      </c>
      <c r="AE737" s="46">
        <f>IF(AQ737="7",BI737,0)</f>
        <v>0</v>
      </c>
      <c r="AF737" s="46">
        <f>IF(AQ737="2",BH737,0)</f>
        <v>0</v>
      </c>
      <c r="AG737" s="46">
        <f>IF(AQ737="2",BI737,0)</f>
        <v>0</v>
      </c>
      <c r="AH737" s="46">
        <f>IF(AQ737="0",BJ737,0)</f>
        <v>0</v>
      </c>
      <c r="AI737" s="1" t="s">
        <v>1668</v>
      </c>
      <c r="AJ737" s="46">
        <f>IF(AN737=0,M737,0)</f>
        <v>0</v>
      </c>
      <c r="AK737" s="46">
        <f>IF(AN737=15,M737,0)</f>
        <v>0</v>
      </c>
      <c r="AL737" s="46">
        <f>IF(AN737=21,M737,0)</f>
        <v>0</v>
      </c>
      <c r="AN737" s="46">
        <v>21</v>
      </c>
      <c r="AO737" s="46">
        <f>J737*1</f>
        <v>0</v>
      </c>
      <c r="AP737" s="46">
        <f>J737*(1-1)</f>
        <v>0</v>
      </c>
      <c r="AQ737" s="42" t="s">
        <v>1648</v>
      </c>
      <c r="AV737" s="46">
        <f>AW737+AX737</f>
        <v>0</v>
      </c>
      <c r="AW737" s="46">
        <f>I737*AO737</f>
        <v>0</v>
      </c>
      <c r="AX737" s="46">
        <f>I737*AP737</f>
        <v>0</v>
      </c>
      <c r="AY737" s="42" t="s">
        <v>132</v>
      </c>
      <c r="AZ737" s="42" t="s">
        <v>190</v>
      </c>
      <c r="BA737" s="1" t="s">
        <v>172</v>
      </c>
      <c r="BC737" s="46">
        <f>AW737+AX737</f>
        <v>0</v>
      </c>
      <c r="BD737" s="46">
        <f>J737/(100-BE737)*100</f>
        <v>0</v>
      </c>
      <c r="BE737" s="46">
        <v>0</v>
      </c>
      <c r="BF737" s="46">
        <f>737</f>
        <v>737</v>
      </c>
      <c r="BH737" s="46">
        <f>I737*AO737</f>
        <v>0</v>
      </c>
      <c r="BI737" s="46">
        <f>I737*AP737</f>
        <v>0</v>
      </c>
      <c r="BJ737" s="46">
        <f>I737*J737</f>
        <v>0</v>
      </c>
      <c r="BK737" s="46"/>
      <c r="BL737" s="46">
        <v>89</v>
      </c>
    </row>
    <row r="738" spans="1:15" ht="15" customHeight="1">
      <c r="A738" s="10"/>
      <c r="D738" s="32" t="s">
        <v>1648</v>
      </c>
      <c r="G738" s="32" t="s">
        <v>135</v>
      </c>
      <c r="I738" s="58">
        <v>1</v>
      </c>
      <c r="O738" s="30"/>
    </row>
    <row r="739" spans="1:64" ht="15" customHeight="1">
      <c r="A739" s="52" t="s">
        <v>24</v>
      </c>
      <c r="B739" s="43" t="s">
        <v>1668</v>
      </c>
      <c r="C739" s="43" t="s">
        <v>921</v>
      </c>
      <c r="D739" s="61" t="s">
        <v>1664</v>
      </c>
      <c r="E739" s="61"/>
      <c r="F739" s="61"/>
      <c r="G739" s="61"/>
      <c r="H739" s="43" t="s">
        <v>392</v>
      </c>
      <c r="I739" s="46">
        <v>47</v>
      </c>
      <c r="J739" s="46">
        <v>0</v>
      </c>
      <c r="K739" s="46">
        <f>I739*AO739</f>
        <v>0</v>
      </c>
      <c r="L739" s="46">
        <f>I739*AP739</f>
        <v>0</v>
      </c>
      <c r="M739" s="46">
        <f>I739*J739</f>
        <v>0</v>
      </c>
      <c r="N739" s="46">
        <v>0</v>
      </c>
      <c r="O739" s="6" t="s">
        <v>1149</v>
      </c>
      <c r="Z739" s="46">
        <f>IF(AQ739="5",BJ739,0)</f>
        <v>0</v>
      </c>
      <c r="AB739" s="46">
        <f>IF(AQ739="1",BH739,0)</f>
        <v>0</v>
      </c>
      <c r="AC739" s="46">
        <f>IF(AQ739="1",BI739,0)</f>
        <v>0</v>
      </c>
      <c r="AD739" s="46">
        <f>IF(AQ739="7",BH739,0)</f>
        <v>0</v>
      </c>
      <c r="AE739" s="46">
        <f>IF(AQ739="7",BI739,0)</f>
        <v>0</v>
      </c>
      <c r="AF739" s="46">
        <f>IF(AQ739="2",BH739,0)</f>
        <v>0</v>
      </c>
      <c r="AG739" s="46">
        <f>IF(AQ739="2",BI739,0)</f>
        <v>0</v>
      </c>
      <c r="AH739" s="46">
        <f>IF(AQ739="0",BJ739,0)</f>
        <v>0</v>
      </c>
      <c r="AI739" s="1" t="s">
        <v>1668</v>
      </c>
      <c r="AJ739" s="46">
        <f>IF(AN739=0,M739,0)</f>
        <v>0</v>
      </c>
      <c r="AK739" s="46">
        <f>IF(AN739=15,M739,0)</f>
        <v>0</v>
      </c>
      <c r="AL739" s="46">
        <f>IF(AN739=21,M739,0)</f>
        <v>0</v>
      </c>
      <c r="AN739" s="46">
        <v>21</v>
      </c>
      <c r="AO739" s="46">
        <f>J739*0</f>
        <v>0</v>
      </c>
      <c r="AP739" s="46">
        <f>J739*(1-0)</f>
        <v>0</v>
      </c>
      <c r="AQ739" s="42" t="s">
        <v>1648</v>
      </c>
      <c r="AV739" s="46">
        <f>AW739+AX739</f>
        <v>0</v>
      </c>
      <c r="AW739" s="46">
        <f>I739*AO739</f>
        <v>0</v>
      </c>
      <c r="AX739" s="46">
        <f>I739*AP739</f>
        <v>0</v>
      </c>
      <c r="AY739" s="42" t="s">
        <v>132</v>
      </c>
      <c r="AZ739" s="42" t="s">
        <v>190</v>
      </c>
      <c r="BA739" s="1" t="s">
        <v>172</v>
      </c>
      <c r="BC739" s="46">
        <f>AW739+AX739</f>
        <v>0</v>
      </c>
      <c r="BD739" s="46">
        <f>J739/(100-BE739)*100</f>
        <v>0</v>
      </c>
      <c r="BE739" s="46">
        <v>0</v>
      </c>
      <c r="BF739" s="46">
        <f>739</f>
        <v>739</v>
      </c>
      <c r="BH739" s="46">
        <f>I739*AO739</f>
        <v>0</v>
      </c>
      <c r="BI739" s="46">
        <f>I739*AP739</f>
        <v>0</v>
      </c>
      <c r="BJ739" s="46">
        <f>I739*J739</f>
        <v>0</v>
      </c>
      <c r="BK739" s="46"/>
      <c r="BL739" s="46">
        <v>89</v>
      </c>
    </row>
    <row r="740" spans="1:15" ht="15" customHeight="1">
      <c r="A740" s="10"/>
      <c r="D740" s="32" t="s">
        <v>1698</v>
      </c>
      <c r="G740" s="32" t="s">
        <v>1481</v>
      </c>
      <c r="I740" s="58">
        <v>47.00000000000001</v>
      </c>
      <c r="O740" s="30"/>
    </row>
    <row r="741" spans="1:64" ht="15" customHeight="1">
      <c r="A741" s="52" t="s">
        <v>382</v>
      </c>
      <c r="B741" s="43" t="s">
        <v>1668</v>
      </c>
      <c r="C741" s="43" t="s">
        <v>434</v>
      </c>
      <c r="D741" s="61" t="s">
        <v>424</v>
      </c>
      <c r="E741" s="61"/>
      <c r="F741" s="61"/>
      <c r="G741" s="61"/>
      <c r="H741" s="43" t="s">
        <v>392</v>
      </c>
      <c r="I741" s="46">
        <v>47</v>
      </c>
      <c r="J741" s="46">
        <v>0</v>
      </c>
      <c r="K741" s="46">
        <f>I741*AO741</f>
        <v>0</v>
      </c>
      <c r="L741" s="46">
        <f>I741*AP741</f>
        <v>0</v>
      </c>
      <c r="M741" s="46">
        <f>I741*J741</f>
        <v>0</v>
      </c>
      <c r="N741" s="46">
        <v>0.003</v>
      </c>
      <c r="O741" s="6" t="s">
        <v>1149</v>
      </c>
      <c r="Z741" s="46">
        <f>IF(AQ741="5",BJ741,0)</f>
        <v>0</v>
      </c>
      <c r="AB741" s="46">
        <f>IF(AQ741="1",BH741,0)</f>
        <v>0</v>
      </c>
      <c r="AC741" s="46">
        <f>IF(AQ741="1",BI741,0)</f>
        <v>0</v>
      </c>
      <c r="AD741" s="46">
        <f>IF(AQ741="7",BH741,0)</f>
        <v>0</v>
      </c>
      <c r="AE741" s="46">
        <f>IF(AQ741="7",BI741,0)</f>
        <v>0</v>
      </c>
      <c r="AF741" s="46">
        <f>IF(AQ741="2",BH741,0)</f>
        <v>0</v>
      </c>
      <c r="AG741" s="46">
        <f>IF(AQ741="2",BI741,0)</f>
        <v>0</v>
      </c>
      <c r="AH741" s="46">
        <f>IF(AQ741="0",BJ741,0)</f>
        <v>0</v>
      </c>
      <c r="AI741" s="1" t="s">
        <v>1668</v>
      </c>
      <c r="AJ741" s="46">
        <f>IF(AN741=0,M741,0)</f>
        <v>0</v>
      </c>
      <c r="AK741" s="46">
        <f>IF(AN741=15,M741,0)</f>
        <v>0</v>
      </c>
      <c r="AL741" s="46">
        <f>IF(AN741=21,M741,0)</f>
        <v>0</v>
      </c>
      <c r="AN741" s="46">
        <v>21</v>
      </c>
      <c r="AO741" s="46">
        <f>J741*1</f>
        <v>0</v>
      </c>
      <c r="AP741" s="46">
        <f>J741*(1-1)</f>
        <v>0</v>
      </c>
      <c r="AQ741" s="42" t="s">
        <v>1648</v>
      </c>
      <c r="AV741" s="46">
        <f>AW741+AX741</f>
        <v>0</v>
      </c>
      <c r="AW741" s="46">
        <f>I741*AO741</f>
        <v>0</v>
      </c>
      <c r="AX741" s="46">
        <f>I741*AP741</f>
        <v>0</v>
      </c>
      <c r="AY741" s="42" t="s">
        <v>132</v>
      </c>
      <c r="AZ741" s="42" t="s">
        <v>190</v>
      </c>
      <c r="BA741" s="1" t="s">
        <v>172</v>
      </c>
      <c r="BC741" s="46">
        <f>AW741+AX741</f>
        <v>0</v>
      </c>
      <c r="BD741" s="46">
        <f>J741/(100-BE741)*100</f>
        <v>0</v>
      </c>
      <c r="BE741" s="46">
        <v>0</v>
      </c>
      <c r="BF741" s="46">
        <f>741</f>
        <v>741</v>
      </c>
      <c r="BH741" s="46">
        <f>I741*AO741</f>
        <v>0</v>
      </c>
      <c r="BI741" s="46">
        <f>I741*AP741</f>
        <v>0</v>
      </c>
      <c r="BJ741" s="46">
        <f>I741*J741</f>
        <v>0</v>
      </c>
      <c r="BK741" s="46"/>
      <c r="BL741" s="46">
        <v>89</v>
      </c>
    </row>
    <row r="742" spans="1:15" ht="15" customHeight="1">
      <c r="A742" s="10"/>
      <c r="D742" s="32" t="s">
        <v>1698</v>
      </c>
      <c r="G742" s="32" t="s">
        <v>1163</v>
      </c>
      <c r="I742" s="58">
        <v>47.00000000000001</v>
      </c>
      <c r="O742" s="30"/>
    </row>
    <row r="743" spans="1:64" ht="15" customHeight="1">
      <c r="A743" s="52" t="s">
        <v>489</v>
      </c>
      <c r="B743" s="43" t="s">
        <v>1668</v>
      </c>
      <c r="C743" s="43" t="s">
        <v>412</v>
      </c>
      <c r="D743" s="61" t="s">
        <v>51</v>
      </c>
      <c r="E743" s="61"/>
      <c r="F743" s="61"/>
      <c r="G743" s="61"/>
      <c r="H743" s="43" t="s">
        <v>392</v>
      </c>
      <c r="I743" s="46">
        <v>47</v>
      </c>
      <c r="J743" s="46">
        <v>0</v>
      </c>
      <c r="K743" s="46">
        <f>I743*AO743</f>
        <v>0</v>
      </c>
      <c r="L743" s="46">
        <f>I743*AP743</f>
        <v>0</v>
      </c>
      <c r="M743" s="46">
        <f>I743*J743</f>
        <v>0</v>
      </c>
      <c r="N743" s="46">
        <v>0.00268</v>
      </c>
      <c r="O743" s="6" t="s">
        <v>1149</v>
      </c>
      <c r="Z743" s="46">
        <f>IF(AQ743="5",BJ743,0)</f>
        <v>0</v>
      </c>
      <c r="AB743" s="46">
        <f>IF(AQ743="1",BH743,0)</f>
        <v>0</v>
      </c>
      <c r="AC743" s="46">
        <f>IF(AQ743="1",BI743,0)</f>
        <v>0</v>
      </c>
      <c r="AD743" s="46">
        <f>IF(AQ743="7",BH743,0)</f>
        <v>0</v>
      </c>
      <c r="AE743" s="46">
        <f>IF(AQ743="7",BI743,0)</f>
        <v>0</v>
      </c>
      <c r="AF743" s="46">
        <f>IF(AQ743="2",BH743,0)</f>
        <v>0</v>
      </c>
      <c r="AG743" s="46">
        <f>IF(AQ743="2",BI743,0)</f>
        <v>0</v>
      </c>
      <c r="AH743" s="46">
        <f>IF(AQ743="0",BJ743,0)</f>
        <v>0</v>
      </c>
      <c r="AI743" s="1" t="s">
        <v>1668</v>
      </c>
      <c r="AJ743" s="46">
        <f>IF(AN743=0,M743,0)</f>
        <v>0</v>
      </c>
      <c r="AK743" s="46">
        <f>IF(AN743=15,M743,0)</f>
        <v>0</v>
      </c>
      <c r="AL743" s="46">
        <f>IF(AN743=21,M743,0)</f>
        <v>0</v>
      </c>
      <c r="AN743" s="46">
        <v>21</v>
      </c>
      <c r="AO743" s="46">
        <f>J743*1</f>
        <v>0</v>
      </c>
      <c r="AP743" s="46">
        <f>J743*(1-1)</f>
        <v>0</v>
      </c>
      <c r="AQ743" s="42" t="s">
        <v>1648</v>
      </c>
      <c r="AV743" s="46">
        <f>AW743+AX743</f>
        <v>0</v>
      </c>
      <c r="AW743" s="46">
        <f>I743*AO743</f>
        <v>0</v>
      </c>
      <c r="AX743" s="46">
        <f>I743*AP743</f>
        <v>0</v>
      </c>
      <c r="AY743" s="42" t="s">
        <v>132</v>
      </c>
      <c r="AZ743" s="42" t="s">
        <v>190</v>
      </c>
      <c r="BA743" s="1" t="s">
        <v>172</v>
      </c>
      <c r="BC743" s="46">
        <f>AW743+AX743</f>
        <v>0</v>
      </c>
      <c r="BD743" s="46">
        <f>J743/(100-BE743)*100</f>
        <v>0</v>
      </c>
      <c r="BE743" s="46">
        <v>0</v>
      </c>
      <c r="BF743" s="46">
        <f>743</f>
        <v>743</v>
      </c>
      <c r="BH743" s="46">
        <f>I743*AO743</f>
        <v>0</v>
      </c>
      <c r="BI743" s="46">
        <f>I743*AP743</f>
        <v>0</v>
      </c>
      <c r="BJ743" s="46">
        <f>I743*J743</f>
        <v>0</v>
      </c>
      <c r="BK743" s="46"/>
      <c r="BL743" s="46">
        <v>89</v>
      </c>
    </row>
    <row r="744" spans="1:15" ht="15" customHeight="1">
      <c r="A744" s="10"/>
      <c r="D744" s="32" t="s">
        <v>1698</v>
      </c>
      <c r="G744" s="32" t="s">
        <v>1355</v>
      </c>
      <c r="I744" s="58">
        <v>47.00000000000001</v>
      </c>
      <c r="O744" s="30"/>
    </row>
    <row r="745" spans="1:64" ht="15" customHeight="1">
      <c r="A745" s="52" t="s">
        <v>1795</v>
      </c>
      <c r="B745" s="43" t="s">
        <v>1668</v>
      </c>
      <c r="C745" s="43" t="s">
        <v>111</v>
      </c>
      <c r="D745" s="61" t="s">
        <v>436</v>
      </c>
      <c r="E745" s="61"/>
      <c r="F745" s="61"/>
      <c r="G745" s="61"/>
      <c r="H745" s="43" t="s">
        <v>392</v>
      </c>
      <c r="I745" s="46">
        <v>47</v>
      </c>
      <c r="J745" s="46">
        <v>0</v>
      </c>
      <c r="K745" s="46">
        <f>I745*AO745</f>
        <v>0</v>
      </c>
      <c r="L745" s="46">
        <f>I745*AP745</f>
        <v>0</v>
      </c>
      <c r="M745" s="46">
        <f>I745*J745</f>
        <v>0</v>
      </c>
      <c r="N745" s="46">
        <v>0.004</v>
      </c>
      <c r="O745" s="6" t="s">
        <v>1149</v>
      </c>
      <c r="Z745" s="46">
        <f>IF(AQ745="5",BJ745,0)</f>
        <v>0</v>
      </c>
      <c r="AB745" s="46">
        <f>IF(AQ745="1",BH745,0)</f>
        <v>0</v>
      </c>
      <c r="AC745" s="46">
        <f>IF(AQ745="1",BI745,0)</f>
        <v>0</v>
      </c>
      <c r="AD745" s="46">
        <f>IF(AQ745="7",BH745,0)</f>
        <v>0</v>
      </c>
      <c r="AE745" s="46">
        <f>IF(AQ745="7",BI745,0)</f>
        <v>0</v>
      </c>
      <c r="AF745" s="46">
        <f>IF(AQ745="2",BH745,0)</f>
        <v>0</v>
      </c>
      <c r="AG745" s="46">
        <f>IF(AQ745="2",BI745,0)</f>
        <v>0</v>
      </c>
      <c r="AH745" s="46">
        <f>IF(AQ745="0",BJ745,0)</f>
        <v>0</v>
      </c>
      <c r="AI745" s="1" t="s">
        <v>1668</v>
      </c>
      <c r="AJ745" s="46">
        <f>IF(AN745=0,M745,0)</f>
        <v>0</v>
      </c>
      <c r="AK745" s="46">
        <f>IF(AN745=15,M745,0)</f>
        <v>0</v>
      </c>
      <c r="AL745" s="46">
        <f>IF(AN745=21,M745,0)</f>
        <v>0</v>
      </c>
      <c r="AN745" s="46">
        <v>21</v>
      </c>
      <c r="AO745" s="46">
        <f>J745*1</f>
        <v>0</v>
      </c>
      <c r="AP745" s="46">
        <f>J745*(1-1)</f>
        <v>0</v>
      </c>
      <c r="AQ745" s="42" t="s">
        <v>1648</v>
      </c>
      <c r="AV745" s="46">
        <f>AW745+AX745</f>
        <v>0</v>
      </c>
      <c r="AW745" s="46">
        <f>I745*AO745</f>
        <v>0</v>
      </c>
      <c r="AX745" s="46">
        <f>I745*AP745</f>
        <v>0</v>
      </c>
      <c r="AY745" s="42" t="s">
        <v>132</v>
      </c>
      <c r="AZ745" s="42" t="s">
        <v>190</v>
      </c>
      <c r="BA745" s="1" t="s">
        <v>172</v>
      </c>
      <c r="BC745" s="46">
        <f>AW745+AX745</f>
        <v>0</v>
      </c>
      <c r="BD745" s="46">
        <f>J745/(100-BE745)*100</f>
        <v>0</v>
      </c>
      <c r="BE745" s="46">
        <v>0</v>
      </c>
      <c r="BF745" s="46">
        <f>745</f>
        <v>745</v>
      </c>
      <c r="BH745" s="46">
        <f>I745*AO745</f>
        <v>0</v>
      </c>
      <c r="BI745" s="46">
        <f>I745*AP745</f>
        <v>0</v>
      </c>
      <c r="BJ745" s="46">
        <f>I745*J745</f>
        <v>0</v>
      </c>
      <c r="BK745" s="46"/>
      <c r="BL745" s="46">
        <v>89</v>
      </c>
    </row>
    <row r="746" spans="1:15" ht="15" customHeight="1">
      <c r="A746" s="10"/>
      <c r="D746" s="32" t="s">
        <v>1698</v>
      </c>
      <c r="G746" s="32" t="s">
        <v>1192</v>
      </c>
      <c r="I746" s="58">
        <v>47.00000000000001</v>
      </c>
      <c r="O746" s="30"/>
    </row>
    <row r="747" spans="1:47" ht="15" customHeight="1">
      <c r="A747" s="3" t="s">
        <v>1163</v>
      </c>
      <c r="B747" s="9" t="s">
        <v>1668</v>
      </c>
      <c r="C747" s="9" t="s">
        <v>74</v>
      </c>
      <c r="D747" s="64" t="s">
        <v>588</v>
      </c>
      <c r="E747" s="64"/>
      <c r="F747" s="64"/>
      <c r="G747" s="64"/>
      <c r="H747" s="41" t="s">
        <v>1537</v>
      </c>
      <c r="I747" s="41" t="s">
        <v>1537</v>
      </c>
      <c r="J747" s="41" t="s">
        <v>1537</v>
      </c>
      <c r="K747" s="50">
        <f>SUM(K748:K748)</f>
        <v>0</v>
      </c>
      <c r="L747" s="50">
        <f>SUM(L748:L748)</f>
        <v>0</v>
      </c>
      <c r="M747" s="50">
        <f>SUM(M748:M748)</f>
        <v>0</v>
      </c>
      <c r="N747" s="1" t="s">
        <v>1163</v>
      </c>
      <c r="O747" s="45" t="s">
        <v>1163</v>
      </c>
      <c r="AI747" s="1" t="s">
        <v>1668</v>
      </c>
      <c r="AS747" s="50">
        <f>SUM(AJ748:AJ748)</f>
        <v>0</v>
      </c>
      <c r="AT747" s="50">
        <f>SUM(AK748:AK748)</f>
        <v>0</v>
      </c>
      <c r="AU747" s="50">
        <f>SUM(AL748:AL748)</f>
        <v>0</v>
      </c>
    </row>
    <row r="748" spans="1:64" ht="15" customHeight="1">
      <c r="A748" s="52" t="s">
        <v>163</v>
      </c>
      <c r="B748" s="43" t="s">
        <v>1668</v>
      </c>
      <c r="C748" s="43" t="s">
        <v>27</v>
      </c>
      <c r="D748" s="61" t="s">
        <v>1691</v>
      </c>
      <c r="E748" s="61"/>
      <c r="F748" s="61"/>
      <c r="G748" s="61"/>
      <c r="H748" s="43" t="s">
        <v>1365</v>
      </c>
      <c r="I748" s="46">
        <v>712.2</v>
      </c>
      <c r="J748" s="46">
        <v>0</v>
      </c>
      <c r="K748" s="46">
        <f>I748*AO748</f>
        <v>0</v>
      </c>
      <c r="L748" s="46">
        <f>I748*AP748</f>
        <v>0</v>
      </c>
      <c r="M748" s="46">
        <f>I748*J748</f>
        <v>0</v>
      </c>
      <c r="N748" s="46">
        <v>0</v>
      </c>
      <c r="O748" s="6" t="s">
        <v>1149</v>
      </c>
      <c r="Z748" s="46">
        <f>IF(AQ748="5",BJ748,0)</f>
        <v>0</v>
      </c>
      <c r="AB748" s="46">
        <f>IF(AQ748="1",BH748,0)</f>
        <v>0</v>
      </c>
      <c r="AC748" s="46">
        <f>IF(AQ748="1",BI748,0)</f>
        <v>0</v>
      </c>
      <c r="AD748" s="46">
        <f>IF(AQ748="7",BH748,0)</f>
        <v>0</v>
      </c>
      <c r="AE748" s="46">
        <f>IF(AQ748="7",BI748,0)</f>
        <v>0</v>
      </c>
      <c r="AF748" s="46">
        <f>IF(AQ748="2",BH748,0)</f>
        <v>0</v>
      </c>
      <c r="AG748" s="46">
        <f>IF(AQ748="2",BI748,0)</f>
        <v>0</v>
      </c>
      <c r="AH748" s="46">
        <f>IF(AQ748="0",BJ748,0)</f>
        <v>0</v>
      </c>
      <c r="AI748" s="1" t="s">
        <v>1668</v>
      </c>
      <c r="AJ748" s="46">
        <f>IF(AN748=0,M748,0)</f>
        <v>0</v>
      </c>
      <c r="AK748" s="46">
        <f>IF(AN748=15,M748,0)</f>
        <v>0</v>
      </c>
      <c r="AL748" s="46">
        <f>IF(AN748=21,M748,0)</f>
        <v>0</v>
      </c>
      <c r="AN748" s="46">
        <v>21</v>
      </c>
      <c r="AO748" s="46">
        <f>J748*0.56381817984467</f>
        <v>0</v>
      </c>
      <c r="AP748" s="46">
        <f>J748*(1-0.56381817984467)</f>
        <v>0</v>
      </c>
      <c r="AQ748" s="42" t="s">
        <v>1648</v>
      </c>
      <c r="AV748" s="46">
        <f>AW748+AX748</f>
        <v>0</v>
      </c>
      <c r="AW748" s="46">
        <f>I748*AO748</f>
        <v>0</v>
      </c>
      <c r="AX748" s="46">
        <f>I748*AP748</f>
        <v>0</v>
      </c>
      <c r="AY748" s="42" t="s">
        <v>1616</v>
      </c>
      <c r="AZ748" s="42" t="s">
        <v>1271</v>
      </c>
      <c r="BA748" s="1" t="s">
        <v>172</v>
      </c>
      <c r="BC748" s="46">
        <f>AW748+AX748</f>
        <v>0</v>
      </c>
      <c r="BD748" s="46">
        <f>J748/(100-BE748)*100</f>
        <v>0</v>
      </c>
      <c r="BE748" s="46">
        <v>0</v>
      </c>
      <c r="BF748" s="46">
        <f>748</f>
        <v>748</v>
      </c>
      <c r="BH748" s="46">
        <f>I748*AO748</f>
        <v>0</v>
      </c>
      <c r="BI748" s="46">
        <f>I748*AP748</f>
        <v>0</v>
      </c>
      <c r="BJ748" s="46">
        <f>I748*J748</f>
        <v>0</v>
      </c>
      <c r="BK748" s="46"/>
      <c r="BL748" s="46">
        <v>91</v>
      </c>
    </row>
    <row r="749" spans="1:15" ht="15" customHeight="1">
      <c r="A749" s="10"/>
      <c r="D749" s="32" t="s">
        <v>60</v>
      </c>
      <c r="G749" s="32" t="s">
        <v>1269</v>
      </c>
      <c r="I749" s="58">
        <v>166</v>
      </c>
      <c r="O749" s="30"/>
    </row>
    <row r="750" spans="1:15" ht="15" customHeight="1">
      <c r="A750" s="10"/>
      <c r="D750" s="32" t="s">
        <v>495</v>
      </c>
      <c r="G750" s="32" t="s">
        <v>184</v>
      </c>
      <c r="I750" s="58">
        <v>546.2</v>
      </c>
      <c r="O750" s="30"/>
    </row>
    <row r="751" spans="1:47" ht="15" customHeight="1">
      <c r="A751" s="3" t="s">
        <v>1163</v>
      </c>
      <c r="B751" s="9" t="s">
        <v>1668</v>
      </c>
      <c r="C751" s="9" t="s">
        <v>1751</v>
      </c>
      <c r="D751" s="64" t="s">
        <v>1229</v>
      </c>
      <c r="E751" s="64"/>
      <c r="F751" s="64"/>
      <c r="G751" s="64"/>
      <c r="H751" s="41" t="s">
        <v>1537</v>
      </c>
      <c r="I751" s="41" t="s">
        <v>1537</v>
      </c>
      <c r="J751" s="41" t="s">
        <v>1537</v>
      </c>
      <c r="K751" s="50">
        <f>SUM(K752:K760)</f>
        <v>0</v>
      </c>
      <c r="L751" s="50">
        <f>SUM(L752:L760)</f>
        <v>0</v>
      </c>
      <c r="M751" s="50">
        <f>SUM(M752:M760)</f>
        <v>0</v>
      </c>
      <c r="N751" s="1" t="s">
        <v>1163</v>
      </c>
      <c r="O751" s="45" t="s">
        <v>1163</v>
      </c>
      <c r="AI751" s="1" t="s">
        <v>1668</v>
      </c>
      <c r="AS751" s="50">
        <f>SUM(AJ752:AJ760)</f>
        <v>0</v>
      </c>
      <c r="AT751" s="50">
        <f>SUM(AK752:AK760)</f>
        <v>0</v>
      </c>
      <c r="AU751" s="50">
        <f>SUM(AL752:AL760)</f>
        <v>0</v>
      </c>
    </row>
    <row r="752" spans="1:64" ht="15" customHeight="1">
      <c r="A752" s="52" t="s">
        <v>623</v>
      </c>
      <c r="B752" s="43" t="s">
        <v>1668</v>
      </c>
      <c r="C752" s="43" t="s">
        <v>501</v>
      </c>
      <c r="D752" s="61" t="s">
        <v>1531</v>
      </c>
      <c r="E752" s="61"/>
      <c r="F752" s="61"/>
      <c r="G752" s="61"/>
      <c r="H752" s="43" t="s">
        <v>1365</v>
      </c>
      <c r="I752" s="46">
        <v>4</v>
      </c>
      <c r="J752" s="46">
        <v>0</v>
      </c>
      <c r="K752" s="46">
        <f>I752*AO752</f>
        <v>0</v>
      </c>
      <c r="L752" s="46">
        <f>I752*AP752</f>
        <v>0</v>
      </c>
      <c r="M752" s="46">
        <f>I752*J752</f>
        <v>0</v>
      </c>
      <c r="N752" s="46">
        <v>0.02712</v>
      </c>
      <c r="O752" s="6" t="s">
        <v>1149</v>
      </c>
      <c r="Z752" s="46">
        <f>IF(AQ752="5",BJ752,0)</f>
        <v>0</v>
      </c>
      <c r="AB752" s="46">
        <f>IF(AQ752="1",BH752,0)</f>
        <v>0</v>
      </c>
      <c r="AC752" s="46">
        <f>IF(AQ752="1",BI752,0)</f>
        <v>0</v>
      </c>
      <c r="AD752" s="46">
        <f>IF(AQ752="7",BH752,0)</f>
        <v>0</v>
      </c>
      <c r="AE752" s="46">
        <f>IF(AQ752="7",BI752,0)</f>
        <v>0</v>
      </c>
      <c r="AF752" s="46">
        <f>IF(AQ752="2",BH752,0)</f>
        <v>0</v>
      </c>
      <c r="AG752" s="46">
        <f>IF(AQ752="2",BI752,0)</f>
        <v>0</v>
      </c>
      <c r="AH752" s="46">
        <f>IF(AQ752="0",BJ752,0)</f>
        <v>0</v>
      </c>
      <c r="AI752" s="1" t="s">
        <v>1668</v>
      </c>
      <c r="AJ752" s="46">
        <f>IF(AN752=0,M752,0)</f>
        <v>0</v>
      </c>
      <c r="AK752" s="46">
        <f>IF(AN752=15,M752,0)</f>
        <v>0</v>
      </c>
      <c r="AL752" s="46">
        <f>IF(AN752=21,M752,0)</f>
        <v>0</v>
      </c>
      <c r="AN752" s="46">
        <v>21</v>
      </c>
      <c r="AO752" s="46">
        <f>J752*0.32257825568978</f>
        <v>0</v>
      </c>
      <c r="AP752" s="46">
        <f>J752*(1-0.32257825568978)</f>
        <v>0</v>
      </c>
      <c r="AQ752" s="42" t="s">
        <v>1157</v>
      </c>
      <c r="AV752" s="46">
        <f>AW752+AX752</f>
        <v>0</v>
      </c>
      <c r="AW752" s="46">
        <f>I752*AO752</f>
        <v>0</v>
      </c>
      <c r="AX752" s="46">
        <f>I752*AP752</f>
        <v>0</v>
      </c>
      <c r="AY752" s="42" t="s">
        <v>1538</v>
      </c>
      <c r="AZ752" s="42" t="s">
        <v>1271</v>
      </c>
      <c r="BA752" s="1" t="s">
        <v>172</v>
      </c>
      <c r="BC752" s="46">
        <f>AW752+AX752</f>
        <v>0</v>
      </c>
      <c r="BD752" s="46">
        <f>J752/(100-BE752)*100</f>
        <v>0</v>
      </c>
      <c r="BE752" s="46">
        <v>0</v>
      </c>
      <c r="BF752" s="46">
        <f>752</f>
        <v>752</v>
      </c>
      <c r="BH752" s="46">
        <f>I752*AO752</f>
        <v>0</v>
      </c>
      <c r="BI752" s="46">
        <f>I752*AP752</f>
        <v>0</v>
      </c>
      <c r="BJ752" s="46">
        <f>I752*J752</f>
        <v>0</v>
      </c>
      <c r="BK752" s="46"/>
      <c r="BL752" s="46"/>
    </row>
    <row r="753" spans="1:15" ht="15" customHeight="1">
      <c r="A753" s="10"/>
      <c r="D753" s="32" t="s">
        <v>191</v>
      </c>
      <c r="G753" s="32" t="s">
        <v>1163</v>
      </c>
      <c r="I753" s="58">
        <v>4</v>
      </c>
      <c r="O753" s="30"/>
    </row>
    <row r="754" spans="1:64" ht="15" customHeight="1">
      <c r="A754" s="52" t="s">
        <v>829</v>
      </c>
      <c r="B754" s="43" t="s">
        <v>1668</v>
      </c>
      <c r="C754" s="43" t="s">
        <v>138</v>
      </c>
      <c r="D754" s="61" t="s">
        <v>397</v>
      </c>
      <c r="E754" s="61"/>
      <c r="F754" s="61"/>
      <c r="G754" s="61"/>
      <c r="H754" s="43" t="s">
        <v>392</v>
      </c>
      <c r="I754" s="46">
        <v>2</v>
      </c>
      <c r="J754" s="46">
        <v>0</v>
      </c>
      <c r="K754" s="46">
        <f>I754*AO754</f>
        <v>0</v>
      </c>
      <c r="L754" s="46">
        <f>I754*AP754</f>
        <v>0</v>
      </c>
      <c r="M754" s="46">
        <f>I754*J754</f>
        <v>0</v>
      </c>
      <c r="N754" s="46">
        <v>0</v>
      </c>
      <c r="O754" s="6" t="s">
        <v>1149</v>
      </c>
      <c r="Z754" s="46">
        <f>IF(AQ754="5",BJ754,0)</f>
        <v>0</v>
      </c>
      <c r="AB754" s="46">
        <f>IF(AQ754="1",BH754,0)</f>
        <v>0</v>
      </c>
      <c r="AC754" s="46">
        <f>IF(AQ754="1",BI754,0)</f>
        <v>0</v>
      </c>
      <c r="AD754" s="46">
        <f>IF(AQ754="7",BH754,0)</f>
        <v>0</v>
      </c>
      <c r="AE754" s="46">
        <f>IF(AQ754="7",BI754,0)</f>
        <v>0</v>
      </c>
      <c r="AF754" s="46">
        <f>IF(AQ754="2",BH754,0)</f>
        <v>0</v>
      </c>
      <c r="AG754" s="46">
        <f>IF(AQ754="2",BI754,0)</f>
        <v>0</v>
      </c>
      <c r="AH754" s="46">
        <f>IF(AQ754="0",BJ754,0)</f>
        <v>0</v>
      </c>
      <c r="AI754" s="1" t="s">
        <v>1668</v>
      </c>
      <c r="AJ754" s="46">
        <f>IF(AN754=0,M754,0)</f>
        <v>0</v>
      </c>
      <c r="AK754" s="46">
        <f>IF(AN754=15,M754,0)</f>
        <v>0</v>
      </c>
      <c r="AL754" s="46">
        <f>IF(AN754=21,M754,0)</f>
        <v>0</v>
      </c>
      <c r="AN754" s="46">
        <v>21</v>
      </c>
      <c r="AO754" s="46">
        <f>J754*0</f>
        <v>0</v>
      </c>
      <c r="AP754" s="46">
        <f>J754*(1-0)</f>
        <v>0</v>
      </c>
      <c r="AQ754" s="42" t="s">
        <v>1157</v>
      </c>
      <c r="AV754" s="46">
        <f>AW754+AX754</f>
        <v>0</v>
      </c>
      <c r="AW754" s="46">
        <f>I754*AO754</f>
        <v>0</v>
      </c>
      <c r="AX754" s="46">
        <f>I754*AP754</f>
        <v>0</v>
      </c>
      <c r="AY754" s="42" t="s">
        <v>1538</v>
      </c>
      <c r="AZ754" s="42" t="s">
        <v>1271</v>
      </c>
      <c r="BA754" s="1" t="s">
        <v>172</v>
      </c>
      <c r="BC754" s="46">
        <f>AW754+AX754</f>
        <v>0</v>
      </c>
      <c r="BD754" s="46">
        <f>J754/(100-BE754)*100</f>
        <v>0</v>
      </c>
      <c r="BE754" s="46">
        <v>0</v>
      </c>
      <c r="BF754" s="46">
        <f>754</f>
        <v>754</v>
      </c>
      <c r="BH754" s="46">
        <f>I754*AO754</f>
        <v>0</v>
      </c>
      <c r="BI754" s="46">
        <f>I754*AP754</f>
        <v>0</v>
      </c>
      <c r="BJ754" s="46">
        <f>I754*J754</f>
        <v>0</v>
      </c>
      <c r="BK754" s="46"/>
      <c r="BL754" s="46"/>
    </row>
    <row r="755" spans="1:64" ht="15" customHeight="1">
      <c r="A755" s="52" t="s">
        <v>504</v>
      </c>
      <c r="B755" s="43" t="s">
        <v>1668</v>
      </c>
      <c r="C755" s="43" t="s">
        <v>432</v>
      </c>
      <c r="D755" s="61" t="s">
        <v>1774</v>
      </c>
      <c r="E755" s="61"/>
      <c r="F755" s="61"/>
      <c r="G755" s="61"/>
      <c r="H755" s="43" t="s">
        <v>392</v>
      </c>
      <c r="I755" s="46">
        <v>2</v>
      </c>
      <c r="J755" s="46">
        <v>0</v>
      </c>
      <c r="K755" s="46">
        <f>I755*AO755</f>
        <v>0</v>
      </c>
      <c r="L755" s="46">
        <f>I755*AP755</f>
        <v>0</v>
      </c>
      <c r="M755" s="46">
        <f>I755*J755</f>
        <v>0</v>
      </c>
      <c r="N755" s="46">
        <v>0.001</v>
      </c>
      <c r="O755" s="6" t="s">
        <v>1149</v>
      </c>
      <c r="Z755" s="46">
        <f>IF(AQ755="5",BJ755,0)</f>
        <v>0</v>
      </c>
      <c r="AB755" s="46">
        <f>IF(AQ755="1",BH755,0)</f>
        <v>0</v>
      </c>
      <c r="AC755" s="46">
        <f>IF(AQ755="1",BI755,0)</f>
        <v>0</v>
      </c>
      <c r="AD755" s="46">
        <f>IF(AQ755="7",BH755,0)</f>
        <v>0</v>
      </c>
      <c r="AE755" s="46">
        <f>IF(AQ755="7",BI755,0)</f>
        <v>0</v>
      </c>
      <c r="AF755" s="46">
        <f>IF(AQ755="2",BH755,0)</f>
        <v>0</v>
      </c>
      <c r="AG755" s="46">
        <f>IF(AQ755="2",BI755,0)</f>
        <v>0</v>
      </c>
      <c r="AH755" s="46">
        <f>IF(AQ755="0",BJ755,0)</f>
        <v>0</v>
      </c>
      <c r="AI755" s="1" t="s">
        <v>1668</v>
      </c>
      <c r="AJ755" s="46">
        <f>IF(AN755=0,M755,0)</f>
        <v>0</v>
      </c>
      <c r="AK755" s="46">
        <f>IF(AN755=15,M755,0)</f>
        <v>0</v>
      </c>
      <c r="AL755" s="46">
        <f>IF(AN755=21,M755,0)</f>
        <v>0</v>
      </c>
      <c r="AN755" s="46">
        <v>21</v>
      </c>
      <c r="AO755" s="46">
        <f>J755*1</f>
        <v>0</v>
      </c>
      <c r="AP755" s="46">
        <f>J755*(1-1)</f>
        <v>0</v>
      </c>
      <c r="AQ755" s="42" t="s">
        <v>1648</v>
      </c>
      <c r="AV755" s="46">
        <f>AW755+AX755</f>
        <v>0</v>
      </c>
      <c r="AW755" s="46">
        <f>I755*AO755</f>
        <v>0</v>
      </c>
      <c r="AX755" s="46">
        <f>I755*AP755</f>
        <v>0</v>
      </c>
      <c r="AY755" s="42" t="s">
        <v>1538</v>
      </c>
      <c r="AZ755" s="42" t="s">
        <v>1271</v>
      </c>
      <c r="BA755" s="1" t="s">
        <v>172</v>
      </c>
      <c r="BC755" s="46">
        <f>AW755+AX755</f>
        <v>0</v>
      </c>
      <c r="BD755" s="46">
        <f>J755/(100-BE755)*100</f>
        <v>0</v>
      </c>
      <c r="BE755" s="46">
        <v>0</v>
      </c>
      <c r="BF755" s="46">
        <f>755</f>
        <v>755</v>
      </c>
      <c r="BH755" s="46">
        <f>I755*AO755</f>
        <v>0</v>
      </c>
      <c r="BI755" s="46">
        <f>I755*AP755</f>
        <v>0</v>
      </c>
      <c r="BJ755" s="46">
        <f>I755*J755</f>
        <v>0</v>
      </c>
      <c r="BK755" s="46"/>
      <c r="BL755" s="46"/>
    </row>
    <row r="756" spans="1:64" ht="15" customHeight="1">
      <c r="A756" s="52" t="s">
        <v>346</v>
      </c>
      <c r="B756" s="43" t="s">
        <v>1668</v>
      </c>
      <c r="C756" s="43" t="s">
        <v>936</v>
      </c>
      <c r="D756" s="61" t="s">
        <v>1723</v>
      </c>
      <c r="E756" s="61"/>
      <c r="F756" s="61"/>
      <c r="G756" s="61"/>
      <c r="H756" s="43" t="s">
        <v>392</v>
      </c>
      <c r="I756" s="46">
        <v>5</v>
      </c>
      <c r="J756" s="46">
        <v>0</v>
      </c>
      <c r="K756" s="46">
        <f>I756*AO756</f>
        <v>0</v>
      </c>
      <c r="L756" s="46">
        <f>I756*AP756</f>
        <v>0</v>
      </c>
      <c r="M756" s="46">
        <f>I756*J756</f>
        <v>0</v>
      </c>
      <c r="N756" s="46">
        <v>0</v>
      </c>
      <c r="O756" s="6" t="s">
        <v>1149</v>
      </c>
      <c r="Z756" s="46">
        <f>IF(AQ756="5",BJ756,0)</f>
        <v>0</v>
      </c>
      <c r="AB756" s="46">
        <f>IF(AQ756="1",BH756,0)</f>
        <v>0</v>
      </c>
      <c r="AC756" s="46">
        <f>IF(AQ756="1",BI756,0)</f>
        <v>0</v>
      </c>
      <c r="AD756" s="46">
        <f>IF(AQ756="7",BH756,0)</f>
        <v>0</v>
      </c>
      <c r="AE756" s="46">
        <f>IF(AQ756="7",BI756,0)</f>
        <v>0</v>
      </c>
      <c r="AF756" s="46">
        <f>IF(AQ756="2",BH756,0)</f>
        <v>0</v>
      </c>
      <c r="AG756" s="46">
        <f>IF(AQ756="2",BI756,0)</f>
        <v>0</v>
      </c>
      <c r="AH756" s="46">
        <f>IF(AQ756="0",BJ756,0)</f>
        <v>0</v>
      </c>
      <c r="AI756" s="1" t="s">
        <v>1668</v>
      </c>
      <c r="AJ756" s="46">
        <f>IF(AN756=0,M756,0)</f>
        <v>0</v>
      </c>
      <c r="AK756" s="46">
        <f>IF(AN756=15,M756,0)</f>
        <v>0</v>
      </c>
      <c r="AL756" s="46">
        <f>IF(AN756=21,M756,0)</f>
        <v>0</v>
      </c>
      <c r="AN756" s="46">
        <v>21</v>
      </c>
      <c r="AO756" s="46">
        <f>J756*0</f>
        <v>0</v>
      </c>
      <c r="AP756" s="46">
        <f>J756*(1-0)</f>
        <v>0</v>
      </c>
      <c r="AQ756" s="42" t="s">
        <v>1157</v>
      </c>
      <c r="AV756" s="46">
        <f>AW756+AX756</f>
        <v>0</v>
      </c>
      <c r="AW756" s="46">
        <f>I756*AO756</f>
        <v>0</v>
      </c>
      <c r="AX756" s="46">
        <f>I756*AP756</f>
        <v>0</v>
      </c>
      <c r="AY756" s="42" t="s">
        <v>1538</v>
      </c>
      <c r="AZ756" s="42" t="s">
        <v>1271</v>
      </c>
      <c r="BA756" s="1" t="s">
        <v>172</v>
      </c>
      <c r="BC756" s="46">
        <f>AW756+AX756</f>
        <v>0</v>
      </c>
      <c r="BD756" s="46">
        <f>J756/(100-BE756)*100</f>
        <v>0</v>
      </c>
      <c r="BE756" s="46">
        <v>0</v>
      </c>
      <c r="BF756" s="46">
        <f>756</f>
        <v>756</v>
      </c>
      <c r="BH756" s="46">
        <f>I756*AO756</f>
        <v>0</v>
      </c>
      <c r="BI756" s="46">
        <f>I756*AP756</f>
        <v>0</v>
      </c>
      <c r="BJ756" s="46">
        <f>I756*J756</f>
        <v>0</v>
      </c>
      <c r="BK756" s="46"/>
      <c r="BL756" s="46"/>
    </row>
    <row r="757" spans="1:15" ht="15" customHeight="1">
      <c r="A757" s="10"/>
      <c r="D757" s="32" t="s">
        <v>880</v>
      </c>
      <c r="G757" s="32" t="s">
        <v>1163</v>
      </c>
      <c r="I757" s="58">
        <v>5</v>
      </c>
      <c r="O757" s="30"/>
    </row>
    <row r="758" spans="1:64" ht="15" customHeight="1">
      <c r="A758" s="52" t="s">
        <v>222</v>
      </c>
      <c r="B758" s="43" t="s">
        <v>1668</v>
      </c>
      <c r="C758" s="43" t="s">
        <v>1620</v>
      </c>
      <c r="D758" s="61" t="s">
        <v>706</v>
      </c>
      <c r="E758" s="61"/>
      <c r="F758" s="61"/>
      <c r="G758" s="61"/>
      <c r="H758" s="43" t="s">
        <v>392</v>
      </c>
      <c r="I758" s="46">
        <v>5</v>
      </c>
      <c r="J758" s="46">
        <v>0</v>
      </c>
      <c r="K758" s="46">
        <f>I758*AO758</f>
        <v>0</v>
      </c>
      <c r="L758" s="46">
        <f>I758*AP758</f>
        <v>0</v>
      </c>
      <c r="M758" s="46">
        <f>I758*J758</f>
        <v>0</v>
      </c>
      <c r="N758" s="46">
        <v>4E-05</v>
      </c>
      <c r="O758" s="6" t="s">
        <v>1149</v>
      </c>
      <c r="Z758" s="46">
        <f>IF(AQ758="5",BJ758,0)</f>
        <v>0</v>
      </c>
      <c r="AB758" s="46">
        <f>IF(AQ758="1",BH758,0)</f>
        <v>0</v>
      </c>
      <c r="AC758" s="46">
        <f>IF(AQ758="1",BI758,0)</f>
        <v>0</v>
      </c>
      <c r="AD758" s="46">
        <f>IF(AQ758="7",BH758,0)</f>
        <v>0</v>
      </c>
      <c r="AE758" s="46">
        <f>IF(AQ758="7",BI758,0)</f>
        <v>0</v>
      </c>
      <c r="AF758" s="46">
        <f>IF(AQ758="2",BH758,0)</f>
        <v>0</v>
      </c>
      <c r="AG758" s="46">
        <f>IF(AQ758="2",BI758,0)</f>
        <v>0</v>
      </c>
      <c r="AH758" s="46">
        <f>IF(AQ758="0",BJ758,0)</f>
        <v>0</v>
      </c>
      <c r="AI758" s="1" t="s">
        <v>1668</v>
      </c>
      <c r="AJ758" s="46">
        <f>IF(AN758=0,M758,0)</f>
        <v>0</v>
      </c>
      <c r="AK758" s="46">
        <f>IF(AN758=15,M758,0)</f>
        <v>0</v>
      </c>
      <c r="AL758" s="46">
        <f>IF(AN758=21,M758,0)</f>
        <v>0</v>
      </c>
      <c r="AN758" s="46">
        <v>21</v>
      </c>
      <c r="AO758" s="46">
        <f>J758*1</f>
        <v>0</v>
      </c>
      <c r="AP758" s="46">
        <f>J758*(1-1)</f>
        <v>0</v>
      </c>
      <c r="AQ758" s="42" t="s">
        <v>1648</v>
      </c>
      <c r="AV758" s="46">
        <f>AW758+AX758</f>
        <v>0</v>
      </c>
      <c r="AW758" s="46">
        <f>I758*AO758</f>
        <v>0</v>
      </c>
      <c r="AX758" s="46">
        <f>I758*AP758</f>
        <v>0</v>
      </c>
      <c r="AY758" s="42" t="s">
        <v>1538</v>
      </c>
      <c r="AZ758" s="42" t="s">
        <v>1271</v>
      </c>
      <c r="BA758" s="1" t="s">
        <v>172</v>
      </c>
      <c r="BC758" s="46">
        <f>AW758+AX758</f>
        <v>0</v>
      </c>
      <c r="BD758" s="46">
        <f>J758/(100-BE758)*100</f>
        <v>0</v>
      </c>
      <c r="BE758" s="46">
        <v>0</v>
      </c>
      <c r="BF758" s="46">
        <f>758</f>
        <v>758</v>
      </c>
      <c r="BH758" s="46">
        <f>I758*AO758</f>
        <v>0</v>
      </c>
      <c r="BI758" s="46">
        <f>I758*AP758</f>
        <v>0</v>
      </c>
      <c r="BJ758" s="46">
        <f>I758*J758</f>
        <v>0</v>
      </c>
      <c r="BK758" s="46"/>
      <c r="BL758" s="46"/>
    </row>
    <row r="759" spans="1:15" ht="15" customHeight="1">
      <c r="A759" s="10"/>
      <c r="D759" s="32" t="s">
        <v>880</v>
      </c>
      <c r="G759" s="32" t="s">
        <v>164</v>
      </c>
      <c r="I759" s="58">
        <v>5</v>
      </c>
      <c r="O759" s="30"/>
    </row>
    <row r="760" spans="1:64" ht="15" customHeight="1">
      <c r="A760" s="52" t="s">
        <v>928</v>
      </c>
      <c r="B760" s="43" t="s">
        <v>1668</v>
      </c>
      <c r="C760" s="43" t="s">
        <v>1440</v>
      </c>
      <c r="D760" s="61" t="s">
        <v>1140</v>
      </c>
      <c r="E760" s="61"/>
      <c r="F760" s="61"/>
      <c r="G760" s="61"/>
      <c r="H760" s="43" t="s">
        <v>749</v>
      </c>
      <c r="I760" s="46">
        <v>666.8624</v>
      </c>
      <c r="J760" s="46">
        <v>0</v>
      </c>
      <c r="K760" s="46">
        <f>I760*AO760</f>
        <v>0</v>
      </c>
      <c r="L760" s="46">
        <f>I760*AP760</f>
        <v>0</v>
      </c>
      <c r="M760" s="46">
        <f>I760*J760</f>
        <v>0</v>
      </c>
      <c r="N760" s="46">
        <v>0</v>
      </c>
      <c r="O760" s="6" t="s">
        <v>1149</v>
      </c>
      <c r="Z760" s="46">
        <f>IF(AQ760="5",BJ760,0)</f>
        <v>0</v>
      </c>
      <c r="AB760" s="46">
        <f>IF(AQ760="1",BH760,0)</f>
        <v>0</v>
      </c>
      <c r="AC760" s="46">
        <f>IF(AQ760="1",BI760,0)</f>
        <v>0</v>
      </c>
      <c r="AD760" s="46">
        <f>IF(AQ760="7",BH760,0)</f>
        <v>0</v>
      </c>
      <c r="AE760" s="46">
        <f>IF(AQ760="7",BI760,0)</f>
        <v>0</v>
      </c>
      <c r="AF760" s="46">
        <f>IF(AQ760="2",BH760,0)</f>
        <v>0</v>
      </c>
      <c r="AG760" s="46">
        <f>IF(AQ760="2",BI760,0)</f>
        <v>0</v>
      </c>
      <c r="AH760" s="46">
        <f>IF(AQ760="0",BJ760,0)</f>
        <v>0</v>
      </c>
      <c r="AI760" s="1" t="s">
        <v>1668</v>
      </c>
      <c r="AJ760" s="46">
        <f>IF(AN760=0,M760,0)</f>
        <v>0</v>
      </c>
      <c r="AK760" s="46">
        <f>IF(AN760=15,M760,0)</f>
        <v>0</v>
      </c>
      <c r="AL760" s="46">
        <f>IF(AN760=21,M760,0)</f>
        <v>0</v>
      </c>
      <c r="AN760" s="46">
        <v>21</v>
      </c>
      <c r="AO760" s="46">
        <f>J760*0</f>
        <v>0</v>
      </c>
      <c r="AP760" s="46">
        <f>J760*(1-0)</f>
        <v>0</v>
      </c>
      <c r="AQ760" s="42" t="s">
        <v>880</v>
      </c>
      <c r="AV760" s="46">
        <f>AW760+AX760</f>
        <v>0</v>
      </c>
      <c r="AW760" s="46">
        <f>I760*AO760</f>
        <v>0</v>
      </c>
      <c r="AX760" s="46">
        <f>I760*AP760</f>
        <v>0</v>
      </c>
      <c r="AY760" s="42" t="s">
        <v>1538</v>
      </c>
      <c r="AZ760" s="42" t="s">
        <v>1271</v>
      </c>
      <c r="BA760" s="1" t="s">
        <v>172</v>
      </c>
      <c r="BC760" s="46">
        <f>AW760+AX760</f>
        <v>0</v>
      </c>
      <c r="BD760" s="46">
        <f>J760/(100-BE760)*100</f>
        <v>0</v>
      </c>
      <c r="BE760" s="46">
        <v>0</v>
      </c>
      <c r="BF760" s="46">
        <f>760</f>
        <v>760</v>
      </c>
      <c r="BH760" s="46">
        <f>I760*AO760</f>
        <v>0</v>
      </c>
      <c r="BI760" s="46">
        <f>I760*AP760</f>
        <v>0</v>
      </c>
      <c r="BJ760" s="46">
        <f>I760*J760</f>
        <v>0</v>
      </c>
      <c r="BK760" s="46"/>
      <c r="BL760" s="46"/>
    </row>
    <row r="761" spans="1:15" ht="15" customHeight="1">
      <c r="A761" s="3" t="s">
        <v>1163</v>
      </c>
      <c r="B761" s="9" t="s">
        <v>443</v>
      </c>
      <c r="C761" s="9" t="s">
        <v>1163</v>
      </c>
      <c r="D761" s="64" t="s">
        <v>638</v>
      </c>
      <c r="E761" s="64"/>
      <c r="F761" s="64"/>
      <c r="G761" s="64"/>
      <c r="H761" s="41" t="s">
        <v>1537</v>
      </c>
      <c r="I761" s="41" t="s">
        <v>1537</v>
      </c>
      <c r="J761" s="41" t="s">
        <v>1537</v>
      </c>
      <c r="K761" s="50">
        <f>K762+K768+K772+K775+K780+K786+K791+K794+K797+K808+K817</f>
        <v>0</v>
      </c>
      <c r="L761" s="50">
        <f>L762+L768+L772+L775+L780+L786+L791+L794+L797+L808+L817</f>
        <v>0</v>
      </c>
      <c r="M761" s="50">
        <f>M762+M768+M772+M775+M780+M786+M791+M794+M797+M808+M817</f>
        <v>0</v>
      </c>
      <c r="N761" s="1" t="s">
        <v>1163</v>
      </c>
      <c r="O761" s="45" t="s">
        <v>1163</v>
      </c>
    </row>
    <row r="762" spans="1:47" ht="15" customHeight="1">
      <c r="A762" s="3" t="s">
        <v>1163</v>
      </c>
      <c r="B762" s="9" t="s">
        <v>443</v>
      </c>
      <c r="C762" s="9" t="s">
        <v>1385</v>
      </c>
      <c r="D762" s="64" t="s">
        <v>909</v>
      </c>
      <c r="E762" s="64"/>
      <c r="F762" s="64"/>
      <c r="G762" s="64"/>
      <c r="H762" s="41" t="s">
        <v>1537</v>
      </c>
      <c r="I762" s="41" t="s">
        <v>1537</v>
      </c>
      <c r="J762" s="41" t="s">
        <v>1537</v>
      </c>
      <c r="K762" s="50">
        <f>SUM(K763:K766)</f>
        <v>0</v>
      </c>
      <c r="L762" s="50">
        <f>SUM(L763:L766)</f>
        <v>0</v>
      </c>
      <c r="M762" s="50">
        <f>SUM(M763:M766)</f>
        <v>0</v>
      </c>
      <c r="N762" s="1" t="s">
        <v>1163</v>
      </c>
      <c r="O762" s="45" t="s">
        <v>1163</v>
      </c>
      <c r="AI762" s="1" t="s">
        <v>443</v>
      </c>
      <c r="AS762" s="50">
        <f>SUM(AJ763:AJ766)</f>
        <v>0</v>
      </c>
      <c r="AT762" s="50">
        <f>SUM(AK763:AK766)</f>
        <v>0</v>
      </c>
      <c r="AU762" s="50">
        <f>SUM(AL763:AL766)</f>
        <v>0</v>
      </c>
    </row>
    <row r="763" spans="1:64" ht="15" customHeight="1">
      <c r="A763" s="52" t="s">
        <v>1557</v>
      </c>
      <c r="B763" s="43" t="s">
        <v>443</v>
      </c>
      <c r="C763" s="43" t="s">
        <v>982</v>
      </c>
      <c r="D763" s="61" t="s">
        <v>833</v>
      </c>
      <c r="E763" s="61"/>
      <c r="F763" s="61"/>
      <c r="G763" s="61"/>
      <c r="H763" s="43" t="s">
        <v>1629</v>
      </c>
      <c r="I763" s="46">
        <v>63.45</v>
      </c>
      <c r="J763" s="46">
        <v>0</v>
      </c>
      <c r="K763" s="46">
        <f>I763*AO763</f>
        <v>0</v>
      </c>
      <c r="L763" s="46">
        <f>I763*AP763</f>
        <v>0</v>
      </c>
      <c r="M763" s="46">
        <f>I763*J763</f>
        <v>0</v>
      </c>
      <c r="N763" s="46">
        <v>0</v>
      </c>
      <c r="O763" s="6" t="s">
        <v>1149</v>
      </c>
      <c r="Z763" s="46">
        <f>IF(AQ763="5",BJ763,0)</f>
        <v>0</v>
      </c>
      <c r="AB763" s="46">
        <f>IF(AQ763="1",BH763,0)</f>
        <v>0</v>
      </c>
      <c r="AC763" s="46">
        <f>IF(AQ763="1",BI763,0)</f>
        <v>0</v>
      </c>
      <c r="AD763" s="46">
        <f>IF(AQ763="7",BH763,0)</f>
        <v>0</v>
      </c>
      <c r="AE763" s="46">
        <f>IF(AQ763="7",BI763,0)</f>
        <v>0</v>
      </c>
      <c r="AF763" s="46">
        <f>IF(AQ763="2",BH763,0)</f>
        <v>0</v>
      </c>
      <c r="AG763" s="46">
        <f>IF(AQ763="2",BI763,0)</f>
        <v>0</v>
      </c>
      <c r="AH763" s="46">
        <f>IF(AQ763="0",BJ763,0)</f>
        <v>0</v>
      </c>
      <c r="AI763" s="1" t="s">
        <v>443</v>
      </c>
      <c r="AJ763" s="46">
        <f>IF(AN763=0,M763,0)</f>
        <v>0</v>
      </c>
      <c r="AK763" s="46">
        <f>IF(AN763=15,M763,0)</f>
        <v>0</v>
      </c>
      <c r="AL763" s="46">
        <f>IF(AN763=21,M763,0)</f>
        <v>0</v>
      </c>
      <c r="AN763" s="46">
        <v>21</v>
      </c>
      <c r="AO763" s="46">
        <f>J763*0</f>
        <v>0</v>
      </c>
      <c r="AP763" s="46">
        <f>J763*(1-0)</f>
        <v>0</v>
      </c>
      <c r="AQ763" s="42" t="s">
        <v>1648</v>
      </c>
      <c r="AV763" s="46">
        <f>AW763+AX763</f>
        <v>0</v>
      </c>
      <c r="AW763" s="46">
        <f>I763*AO763</f>
        <v>0</v>
      </c>
      <c r="AX763" s="46">
        <f>I763*AP763</f>
        <v>0</v>
      </c>
      <c r="AY763" s="42" t="s">
        <v>179</v>
      </c>
      <c r="AZ763" s="42" t="s">
        <v>297</v>
      </c>
      <c r="BA763" s="1" t="s">
        <v>402</v>
      </c>
      <c r="BC763" s="46">
        <f>AW763+AX763</f>
        <v>0</v>
      </c>
      <c r="BD763" s="46">
        <f>J763/(100-BE763)*100</f>
        <v>0</v>
      </c>
      <c r="BE763" s="46">
        <v>0</v>
      </c>
      <c r="BF763" s="46">
        <f>763</f>
        <v>763</v>
      </c>
      <c r="BH763" s="46">
        <f>I763*AO763</f>
        <v>0</v>
      </c>
      <c r="BI763" s="46">
        <f>I763*AP763</f>
        <v>0</v>
      </c>
      <c r="BJ763" s="46">
        <f>I763*J763</f>
        <v>0</v>
      </c>
      <c r="BK763" s="46"/>
      <c r="BL763" s="46">
        <v>11</v>
      </c>
    </row>
    <row r="764" spans="1:15" ht="15" customHeight="1">
      <c r="A764" s="10"/>
      <c r="D764" s="32" t="s">
        <v>1092</v>
      </c>
      <c r="G764" s="32" t="s">
        <v>1802</v>
      </c>
      <c r="I764" s="58">
        <v>63.45</v>
      </c>
      <c r="O764" s="30"/>
    </row>
    <row r="765" spans="1:64" ht="15" customHeight="1">
      <c r="A765" s="52" t="s">
        <v>1852</v>
      </c>
      <c r="B765" s="43" t="s">
        <v>443</v>
      </c>
      <c r="C765" s="43" t="s">
        <v>1868</v>
      </c>
      <c r="D765" s="61" t="s">
        <v>951</v>
      </c>
      <c r="E765" s="61"/>
      <c r="F765" s="61"/>
      <c r="G765" s="61"/>
      <c r="H765" s="43" t="s">
        <v>1629</v>
      </c>
      <c r="I765" s="46">
        <v>63.45</v>
      </c>
      <c r="J765" s="46">
        <v>0</v>
      </c>
      <c r="K765" s="46">
        <f>I765*AO765</f>
        <v>0</v>
      </c>
      <c r="L765" s="46">
        <f>I765*AP765</f>
        <v>0</v>
      </c>
      <c r="M765" s="46">
        <f>I765*J765</f>
        <v>0</v>
      </c>
      <c r="N765" s="46">
        <v>0</v>
      </c>
      <c r="O765" s="6" t="s">
        <v>1149</v>
      </c>
      <c r="Z765" s="46">
        <f>IF(AQ765="5",BJ765,0)</f>
        <v>0</v>
      </c>
      <c r="AB765" s="46">
        <f>IF(AQ765="1",BH765,0)</f>
        <v>0</v>
      </c>
      <c r="AC765" s="46">
        <f>IF(AQ765="1",BI765,0)</f>
        <v>0</v>
      </c>
      <c r="AD765" s="46">
        <f>IF(AQ765="7",BH765,0)</f>
        <v>0</v>
      </c>
      <c r="AE765" s="46">
        <f>IF(AQ765="7",BI765,0)</f>
        <v>0</v>
      </c>
      <c r="AF765" s="46">
        <f>IF(AQ765="2",BH765,0)</f>
        <v>0</v>
      </c>
      <c r="AG765" s="46">
        <f>IF(AQ765="2",BI765,0)</f>
        <v>0</v>
      </c>
      <c r="AH765" s="46">
        <f>IF(AQ765="0",BJ765,0)</f>
        <v>0</v>
      </c>
      <c r="AI765" s="1" t="s">
        <v>443</v>
      </c>
      <c r="AJ765" s="46">
        <f>IF(AN765=0,M765,0)</f>
        <v>0</v>
      </c>
      <c r="AK765" s="46">
        <f>IF(AN765=15,M765,0)</f>
        <v>0</v>
      </c>
      <c r="AL765" s="46">
        <f>IF(AN765=21,M765,0)</f>
        <v>0</v>
      </c>
      <c r="AN765" s="46">
        <v>21</v>
      </c>
      <c r="AO765" s="46">
        <f>J765*0</f>
        <v>0</v>
      </c>
      <c r="AP765" s="46">
        <f>J765*(1-0)</f>
        <v>0</v>
      </c>
      <c r="AQ765" s="42" t="s">
        <v>1648</v>
      </c>
      <c r="AV765" s="46">
        <f>AW765+AX765</f>
        <v>0</v>
      </c>
      <c r="AW765" s="46">
        <f>I765*AO765</f>
        <v>0</v>
      </c>
      <c r="AX765" s="46">
        <f>I765*AP765</f>
        <v>0</v>
      </c>
      <c r="AY765" s="42" t="s">
        <v>179</v>
      </c>
      <c r="AZ765" s="42" t="s">
        <v>297</v>
      </c>
      <c r="BA765" s="1" t="s">
        <v>402</v>
      </c>
      <c r="BC765" s="46">
        <f>AW765+AX765</f>
        <v>0</v>
      </c>
      <c r="BD765" s="46">
        <f>J765/(100-BE765)*100</f>
        <v>0</v>
      </c>
      <c r="BE765" s="46">
        <v>0</v>
      </c>
      <c r="BF765" s="46">
        <f>765</f>
        <v>765</v>
      </c>
      <c r="BH765" s="46">
        <f>I765*AO765</f>
        <v>0</v>
      </c>
      <c r="BI765" s="46">
        <f>I765*AP765</f>
        <v>0</v>
      </c>
      <c r="BJ765" s="46">
        <f>I765*J765</f>
        <v>0</v>
      </c>
      <c r="BK765" s="46"/>
      <c r="BL765" s="46">
        <v>11</v>
      </c>
    </row>
    <row r="766" spans="1:64" ht="15" customHeight="1">
      <c r="A766" s="52" t="s">
        <v>87</v>
      </c>
      <c r="B766" s="43" t="s">
        <v>443</v>
      </c>
      <c r="C766" s="43" t="s">
        <v>654</v>
      </c>
      <c r="D766" s="61" t="s">
        <v>487</v>
      </c>
      <c r="E766" s="61"/>
      <c r="F766" s="61"/>
      <c r="G766" s="61"/>
      <c r="H766" s="43" t="s">
        <v>749</v>
      </c>
      <c r="I766" s="46">
        <v>13.959</v>
      </c>
      <c r="J766" s="46">
        <v>0</v>
      </c>
      <c r="K766" s="46">
        <f>I766*AO766</f>
        <v>0</v>
      </c>
      <c r="L766" s="46">
        <f>I766*AP766</f>
        <v>0</v>
      </c>
      <c r="M766" s="46">
        <f>I766*J766</f>
        <v>0</v>
      </c>
      <c r="N766" s="46">
        <v>0</v>
      </c>
      <c r="O766" s="6" t="s">
        <v>1149</v>
      </c>
      <c r="Z766" s="46">
        <f>IF(AQ766="5",BJ766,0)</f>
        <v>0</v>
      </c>
      <c r="AB766" s="46">
        <f>IF(AQ766="1",BH766,0)</f>
        <v>0</v>
      </c>
      <c r="AC766" s="46">
        <f>IF(AQ766="1",BI766,0)</f>
        <v>0</v>
      </c>
      <c r="AD766" s="46">
        <f>IF(AQ766="7",BH766,0)</f>
        <v>0</v>
      </c>
      <c r="AE766" s="46">
        <f>IF(AQ766="7",BI766,0)</f>
        <v>0</v>
      </c>
      <c r="AF766" s="46">
        <f>IF(AQ766="2",BH766,0)</f>
        <v>0</v>
      </c>
      <c r="AG766" s="46">
        <f>IF(AQ766="2",BI766,0)</f>
        <v>0</v>
      </c>
      <c r="AH766" s="46">
        <f>IF(AQ766="0",BJ766,0)</f>
        <v>0</v>
      </c>
      <c r="AI766" s="1" t="s">
        <v>443</v>
      </c>
      <c r="AJ766" s="46">
        <f>IF(AN766=0,M766,0)</f>
        <v>0</v>
      </c>
      <c r="AK766" s="46">
        <f>IF(AN766=15,M766,0)</f>
        <v>0</v>
      </c>
      <c r="AL766" s="46">
        <f>IF(AN766=21,M766,0)</f>
        <v>0</v>
      </c>
      <c r="AN766" s="46">
        <v>21</v>
      </c>
      <c r="AO766" s="46">
        <f>J766*0</f>
        <v>0</v>
      </c>
      <c r="AP766" s="46">
        <f>J766*(1-0)</f>
        <v>0</v>
      </c>
      <c r="AQ766" s="42" t="s">
        <v>880</v>
      </c>
      <c r="AV766" s="46">
        <f>AW766+AX766</f>
        <v>0</v>
      </c>
      <c r="AW766" s="46">
        <f>I766*AO766</f>
        <v>0</v>
      </c>
      <c r="AX766" s="46">
        <f>I766*AP766</f>
        <v>0</v>
      </c>
      <c r="AY766" s="42" t="s">
        <v>179</v>
      </c>
      <c r="AZ766" s="42" t="s">
        <v>297</v>
      </c>
      <c r="BA766" s="1" t="s">
        <v>402</v>
      </c>
      <c r="BC766" s="46">
        <f>AW766+AX766</f>
        <v>0</v>
      </c>
      <c r="BD766" s="46">
        <f>J766/(100-BE766)*100</f>
        <v>0</v>
      </c>
      <c r="BE766" s="46">
        <v>0</v>
      </c>
      <c r="BF766" s="46">
        <f>766</f>
        <v>766</v>
      </c>
      <c r="BH766" s="46">
        <f>I766*AO766</f>
        <v>0</v>
      </c>
      <c r="BI766" s="46">
        <f>I766*AP766</f>
        <v>0</v>
      </c>
      <c r="BJ766" s="46">
        <f>I766*J766</f>
        <v>0</v>
      </c>
      <c r="BK766" s="46"/>
      <c r="BL766" s="46">
        <v>11</v>
      </c>
    </row>
    <row r="767" spans="1:15" ht="15" customHeight="1">
      <c r="A767" s="10"/>
      <c r="D767" s="32" t="s">
        <v>605</v>
      </c>
      <c r="G767" s="32" t="s">
        <v>1567</v>
      </c>
      <c r="I767" s="58">
        <v>13.959000000000001</v>
      </c>
      <c r="O767" s="30"/>
    </row>
    <row r="768" spans="1:47" ht="15" customHeight="1">
      <c r="A768" s="3" t="s">
        <v>1163</v>
      </c>
      <c r="B768" s="9" t="s">
        <v>443</v>
      </c>
      <c r="C768" s="9" t="s">
        <v>1233</v>
      </c>
      <c r="D768" s="64" t="s">
        <v>394</v>
      </c>
      <c r="E768" s="64"/>
      <c r="F768" s="64"/>
      <c r="G768" s="64"/>
      <c r="H768" s="41" t="s">
        <v>1537</v>
      </c>
      <c r="I768" s="41" t="s">
        <v>1537</v>
      </c>
      <c r="J768" s="41" t="s">
        <v>1537</v>
      </c>
      <c r="K768" s="50">
        <f>SUM(K769:K769)</f>
        <v>0</v>
      </c>
      <c r="L768" s="50">
        <f>SUM(L769:L769)</f>
        <v>0</v>
      </c>
      <c r="M768" s="50">
        <f>SUM(M769:M769)</f>
        <v>0</v>
      </c>
      <c r="N768" s="1" t="s">
        <v>1163</v>
      </c>
      <c r="O768" s="45" t="s">
        <v>1163</v>
      </c>
      <c r="AI768" s="1" t="s">
        <v>443</v>
      </c>
      <c r="AS768" s="50">
        <f>SUM(AJ769:AJ769)</f>
        <v>0</v>
      </c>
      <c r="AT768" s="50">
        <f>SUM(AK769:AK769)</f>
        <v>0</v>
      </c>
      <c r="AU768" s="50">
        <f>SUM(AL769:AL769)</f>
        <v>0</v>
      </c>
    </row>
    <row r="769" spans="1:64" ht="15" customHeight="1">
      <c r="A769" s="52" t="s">
        <v>1632</v>
      </c>
      <c r="B769" s="43" t="s">
        <v>443</v>
      </c>
      <c r="C769" s="43" t="s">
        <v>676</v>
      </c>
      <c r="D769" s="61" t="s">
        <v>1624</v>
      </c>
      <c r="E769" s="61"/>
      <c r="F769" s="61"/>
      <c r="G769" s="61"/>
      <c r="H769" s="43" t="s">
        <v>1604</v>
      </c>
      <c r="I769" s="46">
        <v>15</v>
      </c>
      <c r="J769" s="46">
        <v>0</v>
      </c>
      <c r="K769" s="46">
        <f>I769*AO769</f>
        <v>0</v>
      </c>
      <c r="L769" s="46">
        <f>I769*AP769</f>
        <v>0</v>
      </c>
      <c r="M769" s="46">
        <f>I769*J769</f>
        <v>0</v>
      </c>
      <c r="N769" s="46">
        <v>0</v>
      </c>
      <c r="O769" s="6" t="s">
        <v>1149</v>
      </c>
      <c r="Z769" s="46">
        <f>IF(AQ769="5",BJ769,0)</f>
        <v>0</v>
      </c>
      <c r="AB769" s="46">
        <f>IF(AQ769="1",BH769,0)</f>
        <v>0</v>
      </c>
      <c r="AC769" s="46">
        <f>IF(AQ769="1",BI769,0)</f>
        <v>0</v>
      </c>
      <c r="AD769" s="46">
        <f>IF(AQ769="7",BH769,0)</f>
        <v>0</v>
      </c>
      <c r="AE769" s="46">
        <f>IF(AQ769="7",BI769,0)</f>
        <v>0</v>
      </c>
      <c r="AF769" s="46">
        <f>IF(AQ769="2",BH769,0)</f>
        <v>0</v>
      </c>
      <c r="AG769" s="46">
        <f>IF(AQ769="2",BI769,0)</f>
        <v>0</v>
      </c>
      <c r="AH769" s="46">
        <f>IF(AQ769="0",BJ769,0)</f>
        <v>0</v>
      </c>
      <c r="AI769" s="1" t="s">
        <v>443</v>
      </c>
      <c r="AJ769" s="46">
        <f>IF(AN769=0,M769,0)</f>
        <v>0</v>
      </c>
      <c r="AK769" s="46">
        <f>IF(AN769=15,M769,0)</f>
        <v>0</v>
      </c>
      <c r="AL769" s="46">
        <f>IF(AN769=21,M769,0)</f>
        <v>0</v>
      </c>
      <c r="AN769" s="46">
        <v>21</v>
      </c>
      <c r="AO769" s="46">
        <f>J769*0</f>
        <v>0</v>
      </c>
      <c r="AP769" s="46">
        <f>J769*(1-0)</f>
        <v>0</v>
      </c>
      <c r="AQ769" s="42" t="s">
        <v>1648</v>
      </c>
      <c r="AV769" s="46">
        <f>AW769+AX769</f>
        <v>0</v>
      </c>
      <c r="AW769" s="46">
        <f>I769*AO769</f>
        <v>0</v>
      </c>
      <c r="AX769" s="46">
        <f>I769*AP769</f>
        <v>0</v>
      </c>
      <c r="AY769" s="42" t="s">
        <v>838</v>
      </c>
      <c r="AZ769" s="42" t="s">
        <v>297</v>
      </c>
      <c r="BA769" s="1" t="s">
        <v>402</v>
      </c>
      <c r="BC769" s="46">
        <f>AW769+AX769</f>
        <v>0</v>
      </c>
      <c r="BD769" s="46">
        <f>J769/(100-BE769)*100</f>
        <v>0</v>
      </c>
      <c r="BE769" s="46">
        <v>0</v>
      </c>
      <c r="BF769" s="46">
        <f>769</f>
        <v>769</v>
      </c>
      <c r="BH769" s="46">
        <f>I769*AO769</f>
        <v>0</v>
      </c>
      <c r="BI769" s="46">
        <f>I769*AP769</f>
        <v>0</v>
      </c>
      <c r="BJ769" s="46">
        <f>I769*J769</f>
        <v>0</v>
      </c>
      <c r="BK769" s="46"/>
      <c r="BL769" s="46">
        <v>12</v>
      </c>
    </row>
    <row r="770" spans="1:15" ht="15" customHeight="1">
      <c r="A770" s="10"/>
      <c r="D770" s="32" t="s">
        <v>1580</v>
      </c>
      <c r="G770" s="32" t="s">
        <v>1409</v>
      </c>
      <c r="I770" s="58">
        <v>15.000000000000002</v>
      </c>
      <c r="O770" s="30"/>
    </row>
    <row r="771" spans="1:15" ht="15" customHeight="1">
      <c r="A771" s="10"/>
      <c r="D771" s="32" t="s">
        <v>1163</v>
      </c>
      <c r="G771" s="32" t="s">
        <v>790</v>
      </c>
      <c r="I771" s="58">
        <v>0</v>
      </c>
      <c r="O771" s="30"/>
    </row>
    <row r="772" spans="1:47" ht="15" customHeight="1">
      <c r="A772" s="3" t="s">
        <v>1163</v>
      </c>
      <c r="B772" s="9" t="s">
        <v>443</v>
      </c>
      <c r="C772" s="9" t="s">
        <v>472</v>
      </c>
      <c r="D772" s="64" t="s">
        <v>16</v>
      </c>
      <c r="E772" s="64"/>
      <c r="F772" s="64"/>
      <c r="G772" s="64"/>
      <c r="H772" s="41" t="s">
        <v>1537</v>
      </c>
      <c r="I772" s="41" t="s">
        <v>1537</v>
      </c>
      <c r="J772" s="41" t="s">
        <v>1537</v>
      </c>
      <c r="K772" s="50">
        <f>SUM(K773:K773)</f>
        <v>0</v>
      </c>
      <c r="L772" s="50">
        <f>SUM(L773:L773)</f>
        <v>0</v>
      </c>
      <c r="M772" s="50">
        <f>SUM(M773:M773)</f>
        <v>0</v>
      </c>
      <c r="N772" s="1" t="s">
        <v>1163</v>
      </c>
      <c r="O772" s="45" t="s">
        <v>1163</v>
      </c>
      <c r="AI772" s="1" t="s">
        <v>443</v>
      </c>
      <c r="AS772" s="50">
        <f>SUM(AJ773:AJ773)</f>
        <v>0</v>
      </c>
      <c r="AT772" s="50">
        <f>SUM(AK773:AK773)</f>
        <v>0</v>
      </c>
      <c r="AU772" s="50">
        <f>SUM(AL773:AL773)</f>
        <v>0</v>
      </c>
    </row>
    <row r="773" spans="1:64" ht="15" customHeight="1">
      <c r="A773" s="52" t="s">
        <v>108</v>
      </c>
      <c r="B773" s="43" t="s">
        <v>443</v>
      </c>
      <c r="C773" s="43" t="s">
        <v>1476</v>
      </c>
      <c r="D773" s="61" t="s">
        <v>226</v>
      </c>
      <c r="E773" s="61"/>
      <c r="F773" s="61"/>
      <c r="G773" s="61"/>
      <c r="H773" s="43" t="s">
        <v>1604</v>
      </c>
      <c r="I773" s="46">
        <v>366.525</v>
      </c>
      <c r="J773" s="46">
        <v>0</v>
      </c>
      <c r="K773" s="46">
        <f>I773*AO773</f>
        <v>0</v>
      </c>
      <c r="L773" s="46">
        <f>I773*AP773</f>
        <v>0</v>
      </c>
      <c r="M773" s="46">
        <f>I773*J773</f>
        <v>0</v>
      </c>
      <c r="N773" s="46">
        <v>0</v>
      </c>
      <c r="O773" s="6" t="s">
        <v>1149</v>
      </c>
      <c r="Z773" s="46">
        <f>IF(AQ773="5",BJ773,0)</f>
        <v>0</v>
      </c>
      <c r="AB773" s="46">
        <f>IF(AQ773="1",BH773,0)</f>
        <v>0</v>
      </c>
      <c r="AC773" s="46">
        <f>IF(AQ773="1",BI773,0)</f>
        <v>0</v>
      </c>
      <c r="AD773" s="46">
        <f>IF(AQ773="7",BH773,0)</f>
        <v>0</v>
      </c>
      <c r="AE773" s="46">
        <f>IF(AQ773="7",BI773,0)</f>
        <v>0</v>
      </c>
      <c r="AF773" s="46">
        <f>IF(AQ773="2",BH773,0)</f>
        <v>0</v>
      </c>
      <c r="AG773" s="46">
        <f>IF(AQ773="2",BI773,0)</f>
        <v>0</v>
      </c>
      <c r="AH773" s="46">
        <f>IF(AQ773="0",BJ773,0)</f>
        <v>0</v>
      </c>
      <c r="AI773" s="1" t="s">
        <v>443</v>
      </c>
      <c r="AJ773" s="46">
        <f>IF(AN773=0,M773,0)</f>
        <v>0</v>
      </c>
      <c r="AK773" s="46">
        <f>IF(AN773=15,M773,0)</f>
        <v>0</v>
      </c>
      <c r="AL773" s="46">
        <f>IF(AN773=21,M773,0)</f>
        <v>0</v>
      </c>
      <c r="AN773" s="46">
        <v>21</v>
      </c>
      <c r="AO773" s="46">
        <f>J773*0</f>
        <v>0</v>
      </c>
      <c r="AP773" s="46">
        <f>J773*(1-0)</f>
        <v>0</v>
      </c>
      <c r="AQ773" s="42" t="s">
        <v>1648</v>
      </c>
      <c r="AV773" s="46">
        <f>AW773+AX773</f>
        <v>0</v>
      </c>
      <c r="AW773" s="46">
        <f>I773*AO773</f>
        <v>0</v>
      </c>
      <c r="AX773" s="46">
        <f>I773*AP773</f>
        <v>0</v>
      </c>
      <c r="AY773" s="42" t="s">
        <v>1498</v>
      </c>
      <c r="AZ773" s="42" t="s">
        <v>297</v>
      </c>
      <c r="BA773" s="1" t="s">
        <v>402</v>
      </c>
      <c r="BC773" s="46">
        <f>AW773+AX773</f>
        <v>0</v>
      </c>
      <c r="BD773" s="46">
        <f>J773/(100-BE773)*100</f>
        <v>0</v>
      </c>
      <c r="BE773" s="46">
        <v>0</v>
      </c>
      <c r="BF773" s="46">
        <f>773</f>
        <v>773</v>
      </c>
      <c r="BH773" s="46">
        <f>I773*AO773</f>
        <v>0</v>
      </c>
      <c r="BI773" s="46">
        <f>I773*AP773</f>
        <v>0</v>
      </c>
      <c r="BJ773" s="46">
        <f>I773*J773</f>
        <v>0</v>
      </c>
      <c r="BK773" s="46"/>
      <c r="BL773" s="46">
        <v>13</v>
      </c>
    </row>
    <row r="774" spans="1:15" ht="15" customHeight="1">
      <c r="A774" s="10"/>
      <c r="D774" s="32" t="s">
        <v>1217</v>
      </c>
      <c r="G774" s="32" t="s">
        <v>1047</v>
      </c>
      <c r="I774" s="58">
        <v>366.52500000000003</v>
      </c>
      <c r="O774" s="30"/>
    </row>
    <row r="775" spans="1:47" ht="15" customHeight="1">
      <c r="A775" s="3" t="s">
        <v>1163</v>
      </c>
      <c r="B775" s="9" t="s">
        <v>443</v>
      </c>
      <c r="C775" s="9" t="s">
        <v>153</v>
      </c>
      <c r="D775" s="64" t="s">
        <v>1379</v>
      </c>
      <c r="E775" s="64"/>
      <c r="F775" s="64"/>
      <c r="G775" s="64"/>
      <c r="H775" s="41" t="s">
        <v>1537</v>
      </c>
      <c r="I775" s="41" t="s">
        <v>1537</v>
      </c>
      <c r="J775" s="41" t="s">
        <v>1537</v>
      </c>
      <c r="K775" s="50">
        <f>SUM(K776:K778)</f>
        <v>0</v>
      </c>
      <c r="L775" s="50">
        <f>SUM(L776:L778)</f>
        <v>0</v>
      </c>
      <c r="M775" s="50">
        <f>SUM(M776:M778)</f>
        <v>0</v>
      </c>
      <c r="N775" s="1" t="s">
        <v>1163</v>
      </c>
      <c r="O775" s="45" t="s">
        <v>1163</v>
      </c>
      <c r="AI775" s="1" t="s">
        <v>443</v>
      </c>
      <c r="AS775" s="50">
        <f>SUM(AJ776:AJ778)</f>
        <v>0</v>
      </c>
      <c r="AT775" s="50">
        <f>SUM(AK776:AK778)</f>
        <v>0</v>
      </c>
      <c r="AU775" s="50">
        <f>SUM(AL776:AL778)</f>
        <v>0</v>
      </c>
    </row>
    <row r="776" spans="1:64" ht="15" customHeight="1">
      <c r="A776" s="52" t="s">
        <v>1835</v>
      </c>
      <c r="B776" s="43" t="s">
        <v>443</v>
      </c>
      <c r="C776" s="43" t="s">
        <v>23</v>
      </c>
      <c r="D776" s="61" t="s">
        <v>1389</v>
      </c>
      <c r="E776" s="61"/>
      <c r="F776" s="61"/>
      <c r="G776" s="61"/>
      <c r="H776" s="43" t="s">
        <v>1604</v>
      </c>
      <c r="I776" s="46">
        <v>109.957</v>
      </c>
      <c r="J776" s="46">
        <v>0</v>
      </c>
      <c r="K776" s="46">
        <f>I776*AO776</f>
        <v>0</v>
      </c>
      <c r="L776" s="46">
        <f>I776*AP776</f>
        <v>0</v>
      </c>
      <c r="M776" s="46">
        <f>I776*J776</f>
        <v>0</v>
      </c>
      <c r="N776" s="46">
        <v>0</v>
      </c>
      <c r="O776" s="6" t="s">
        <v>1149</v>
      </c>
      <c r="Z776" s="46">
        <f>IF(AQ776="5",BJ776,0)</f>
        <v>0</v>
      </c>
      <c r="AB776" s="46">
        <f>IF(AQ776="1",BH776,0)</f>
        <v>0</v>
      </c>
      <c r="AC776" s="46">
        <f>IF(AQ776="1",BI776,0)</f>
        <v>0</v>
      </c>
      <c r="AD776" s="46">
        <f>IF(AQ776="7",BH776,0)</f>
        <v>0</v>
      </c>
      <c r="AE776" s="46">
        <f>IF(AQ776="7",BI776,0)</f>
        <v>0</v>
      </c>
      <c r="AF776" s="46">
        <f>IF(AQ776="2",BH776,0)</f>
        <v>0</v>
      </c>
      <c r="AG776" s="46">
        <f>IF(AQ776="2",BI776,0)</f>
        <v>0</v>
      </c>
      <c r="AH776" s="46">
        <f>IF(AQ776="0",BJ776,0)</f>
        <v>0</v>
      </c>
      <c r="AI776" s="1" t="s">
        <v>443</v>
      </c>
      <c r="AJ776" s="46">
        <f>IF(AN776=0,M776,0)</f>
        <v>0</v>
      </c>
      <c r="AK776" s="46">
        <f>IF(AN776=15,M776,0)</f>
        <v>0</v>
      </c>
      <c r="AL776" s="46">
        <f>IF(AN776=21,M776,0)</f>
        <v>0</v>
      </c>
      <c r="AN776" s="46">
        <v>21</v>
      </c>
      <c r="AO776" s="46">
        <f>J776*0</f>
        <v>0</v>
      </c>
      <c r="AP776" s="46">
        <f>J776*(1-0)</f>
        <v>0</v>
      </c>
      <c r="AQ776" s="42" t="s">
        <v>1648</v>
      </c>
      <c r="AV776" s="46">
        <f>AW776+AX776</f>
        <v>0</v>
      </c>
      <c r="AW776" s="46">
        <f>I776*AO776</f>
        <v>0</v>
      </c>
      <c r="AX776" s="46">
        <f>I776*AP776</f>
        <v>0</v>
      </c>
      <c r="AY776" s="42" t="s">
        <v>1541</v>
      </c>
      <c r="AZ776" s="42" t="s">
        <v>297</v>
      </c>
      <c r="BA776" s="1" t="s">
        <v>402</v>
      </c>
      <c r="BC776" s="46">
        <f>AW776+AX776</f>
        <v>0</v>
      </c>
      <c r="BD776" s="46">
        <f>J776/(100-BE776)*100</f>
        <v>0</v>
      </c>
      <c r="BE776" s="46">
        <v>0</v>
      </c>
      <c r="BF776" s="46">
        <f>776</f>
        <v>776</v>
      </c>
      <c r="BH776" s="46">
        <f>I776*AO776</f>
        <v>0</v>
      </c>
      <c r="BI776" s="46">
        <f>I776*AP776</f>
        <v>0</v>
      </c>
      <c r="BJ776" s="46">
        <f>I776*J776</f>
        <v>0</v>
      </c>
      <c r="BK776" s="46"/>
      <c r="BL776" s="46">
        <v>16</v>
      </c>
    </row>
    <row r="777" spans="1:15" ht="15" customHeight="1">
      <c r="A777" s="10"/>
      <c r="D777" s="32" t="s">
        <v>13</v>
      </c>
      <c r="G777" s="32" t="s">
        <v>1398</v>
      </c>
      <c r="I777" s="58">
        <v>109.95700000000001</v>
      </c>
      <c r="O777" s="30"/>
    </row>
    <row r="778" spans="1:64" ht="15" customHeight="1">
      <c r="A778" s="52" t="s">
        <v>1360</v>
      </c>
      <c r="B778" s="43" t="s">
        <v>443</v>
      </c>
      <c r="C778" s="43" t="s">
        <v>758</v>
      </c>
      <c r="D778" s="61" t="s">
        <v>890</v>
      </c>
      <c r="E778" s="61"/>
      <c r="F778" s="61"/>
      <c r="G778" s="61"/>
      <c r="H778" s="43" t="s">
        <v>1604</v>
      </c>
      <c r="I778" s="46">
        <v>3300</v>
      </c>
      <c r="J778" s="46">
        <v>0</v>
      </c>
      <c r="K778" s="46">
        <f>I778*AO778</f>
        <v>0</v>
      </c>
      <c r="L778" s="46">
        <f>I778*AP778</f>
        <v>0</v>
      </c>
      <c r="M778" s="46">
        <f>I778*J778</f>
        <v>0</v>
      </c>
      <c r="N778" s="46">
        <v>0</v>
      </c>
      <c r="O778" s="6" t="s">
        <v>1149</v>
      </c>
      <c r="Z778" s="46">
        <f>IF(AQ778="5",BJ778,0)</f>
        <v>0</v>
      </c>
      <c r="AB778" s="46">
        <f>IF(AQ778="1",BH778,0)</f>
        <v>0</v>
      </c>
      <c r="AC778" s="46">
        <f>IF(AQ778="1",BI778,0)</f>
        <v>0</v>
      </c>
      <c r="AD778" s="46">
        <f>IF(AQ778="7",BH778,0)</f>
        <v>0</v>
      </c>
      <c r="AE778" s="46">
        <f>IF(AQ778="7",BI778,0)</f>
        <v>0</v>
      </c>
      <c r="AF778" s="46">
        <f>IF(AQ778="2",BH778,0)</f>
        <v>0</v>
      </c>
      <c r="AG778" s="46">
        <f>IF(AQ778="2",BI778,0)</f>
        <v>0</v>
      </c>
      <c r="AH778" s="46">
        <f>IF(AQ778="0",BJ778,0)</f>
        <v>0</v>
      </c>
      <c r="AI778" s="1" t="s">
        <v>443</v>
      </c>
      <c r="AJ778" s="46">
        <f>IF(AN778=0,M778,0)</f>
        <v>0</v>
      </c>
      <c r="AK778" s="46">
        <f>IF(AN778=15,M778,0)</f>
        <v>0</v>
      </c>
      <c r="AL778" s="46">
        <f>IF(AN778=21,M778,0)</f>
        <v>0</v>
      </c>
      <c r="AN778" s="46">
        <v>21</v>
      </c>
      <c r="AO778" s="46">
        <f>J778*0</f>
        <v>0</v>
      </c>
      <c r="AP778" s="46">
        <f>J778*(1-0)</f>
        <v>0</v>
      </c>
      <c r="AQ778" s="42" t="s">
        <v>1648</v>
      </c>
      <c r="AV778" s="46">
        <f>AW778+AX778</f>
        <v>0</v>
      </c>
      <c r="AW778" s="46">
        <f>I778*AO778</f>
        <v>0</v>
      </c>
      <c r="AX778" s="46">
        <f>I778*AP778</f>
        <v>0</v>
      </c>
      <c r="AY778" s="42" t="s">
        <v>1541</v>
      </c>
      <c r="AZ778" s="42" t="s">
        <v>297</v>
      </c>
      <c r="BA778" s="1" t="s">
        <v>402</v>
      </c>
      <c r="BC778" s="46">
        <f>AW778+AX778</f>
        <v>0</v>
      </c>
      <c r="BD778" s="46">
        <f>J778/(100-BE778)*100</f>
        <v>0</v>
      </c>
      <c r="BE778" s="46">
        <v>0</v>
      </c>
      <c r="BF778" s="46">
        <f>778</f>
        <v>778</v>
      </c>
      <c r="BH778" s="46">
        <f>I778*AO778</f>
        <v>0</v>
      </c>
      <c r="BI778" s="46">
        <f>I778*AP778</f>
        <v>0</v>
      </c>
      <c r="BJ778" s="46">
        <f>I778*J778</f>
        <v>0</v>
      </c>
      <c r="BK778" s="46"/>
      <c r="BL778" s="46">
        <v>16</v>
      </c>
    </row>
    <row r="779" spans="1:15" ht="15" customHeight="1">
      <c r="A779" s="10"/>
      <c r="D779" s="32" t="s">
        <v>401</v>
      </c>
      <c r="G779" s="32" t="s">
        <v>1688</v>
      </c>
      <c r="I779" s="58">
        <v>3300.0000000000005</v>
      </c>
      <c r="O779" s="30"/>
    </row>
    <row r="780" spans="1:47" ht="15" customHeight="1">
      <c r="A780" s="3" t="s">
        <v>1163</v>
      </c>
      <c r="B780" s="9" t="s">
        <v>443</v>
      </c>
      <c r="C780" s="9" t="s">
        <v>1169</v>
      </c>
      <c r="D780" s="64" t="s">
        <v>225</v>
      </c>
      <c r="E780" s="64"/>
      <c r="F780" s="64"/>
      <c r="G780" s="64"/>
      <c r="H780" s="41" t="s">
        <v>1537</v>
      </c>
      <c r="I780" s="41" t="s">
        <v>1537</v>
      </c>
      <c r="J780" s="41" t="s">
        <v>1537</v>
      </c>
      <c r="K780" s="50">
        <f>SUM(K781:K783)</f>
        <v>0</v>
      </c>
      <c r="L780" s="50">
        <f>SUM(L781:L783)</f>
        <v>0</v>
      </c>
      <c r="M780" s="50">
        <f>SUM(M781:M783)</f>
        <v>0</v>
      </c>
      <c r="N780" s="1" t="s">
        <v>1163</v>
      </c>
      <c r="O780" s="45" t="s">
        <v>1163</v>
      </c>
      <c r="AI780" s="1" t="s">
        <v>443</v>
      </c>
      <c r="AS780" s="50">
        <f>SUM(AJ781:AJ783)</f>
        <v>0</v>
      </c>
      <c r="AT780" s="50">
        <f>SUM(AK781:AK783)</f>
        <v>0</v>
      </c>
      <c r="AU780" s="50">
        <f>SUM(AL781:AL783)</f>
        <v>0</v>
      </c>
    </row>
    <row r="781" spans="1:64" ht="15" customHeight="1">
      <c r="A781" s="52" t="s">
        <v>1861</v>
      </c>
      <c r="B781" s="43" t="s">
        <v>443</v>
      </c>
      <c r="C781" s="43" t="s">
        <v>1450</v>
      </c>
      <c r="D781" s="61" t="s">
        <v>47</v>
      </c>
      <c r="E781" s="61"/>
      <c r="F781" s="61"/>
      <c r="G781" s="61"/>
      <c r="H781" s="43" t="s">
        <v>1604</v>
      </c>
      <c r="I781" s="46">
        <v>85.5225</v>
      </c>
      <c r="J781" s="46">
        <v>0</v>
      </c>
      <c r="K781" s="46">
        <f>I781*AO781</f>
        <v>0</v>
      </c>
      <c r="L781" s="46">
        <f>I781*AP781</f>
        <v>0</v>
      </c>
      <c r="M781" s="46">
        <f>I781*J781</f>
        <v>0</v>
      </c>
      <c r="N781" s="46">
        <v>1.7</v>
      </c>
      <c r="O781" s="6" t="s">
        <v>1149</v>
      </c>
      <c r="Z781" s="46">
        <f>IF(AQ781="5",BJ781,0)</f>
        <v>0</v>
      </c>
      <c r="AB781" s="46">
        <f>IF(AQ781="1",BH781,0)</f>
        <v>0</v>
      </c>
      <c r="AC781" s="46">
        <f>IF(AQ781="1",BI781,0)</f>
        <v>0</v>
      </c>
      <c r="AD781" s="46">
        <f>IF(AQ781="7",BH781,0)</f>
        <v>0</v>
      </c>
      <c r="AE781" s="46">
        <f>IF(AQ781="7",BI781,0)</f>
        <v>0</v>
      </c>
      <c r="AF781" s="46">
        <f>IF(AQ781="2",BH781,0)</f>
        <v>0</v>
      </c>
      <c r="AG781" s="46">
        <f>IF(AQ781="2",BI781,0)</f>
        <v>0</v>
      </c>
      <c r="AH781" s="46">
        <f>IF(AQ781="0",BJ781,0)</f>
        <v>0</v>
      </c>
      <c r="AI781" s="1" t="s">
        <v>443</v>
      </c>
      <c r="AJ781" s="46">
        <f>IF(AN781=0,M781,0)</f>
        <v>0</v>
      </c>
      <c r="AK781" s="46">
        <f>IF(AN781=15,M781,0)</f>
        <v>0</v>
      </c>
      <c r="AL781" s="46">
        <f>IF(AN781=21,M781,0)</f>
        <v>0</v>
      </c>
      <c r="AN781" s="46">
        <v>21</v>
      </c>
      <c r="AO781" s="46">
        <f>J781*0.50338066410648</f>
        <v>0</v>
      </c>
      <c r="AP781" s="46">
        <f>J781*(1-0.50338066410648)</f>
        <v>0</v>
      </c>
      <c r="AQ781" s="42" t="s">
        <v>1648</v>
      </c>
      <c r="AV781" s="46">
        <f>AW781+AX781</f>
        <v>0</v>
      </c>
      <c r="AW781" s="46">
        <f>I781*AO781</f>
        <v>0</v>
      </c>
      <c r="AX781" s="46">
        <f>I781*AP781</f>
        <v>0</v>
      </c>
      <c r="AY781" s="42" t="s">
        <v>319</v>
      </c>
      <c r="AZ781" s="42" t="s">
        <v>297</v>
      </c>
      <c r="BA781" s="1" t="s">
        <v>402</v>
      </c>
      <c r="BC781" s="46">
        <f>AW781+AX781</f>
        <v>0</v>
      </c>
      <c r="BD781" s="46">
        <f>J781/(100-BE781)*100</f>
        <v>0</v>
      </c>
      <c r="BE781" s="46">
        <v>0</v>
      </c>
      <c r="BF781" s="46">
        <f>781</f>
        <v>781</v>
      </c>
      <c r="BH781" s="46">
        <f>I781*AO781</f>
        <v>0</v>
      </c>
      <c r="BI781" s="46">
        <f>I781*AP781</f>
        <v>0</v>
      </c>
      <c r="BJ781" s="46">
        <f>I781*J781</f>
        <v>0</v>
      </c>
      <c r="BK781" s="46"/>
      <c r="BL781" s="46">
        <v>17</v>
      </c>
    </row>
    <row r="782" spans="1:15" ht="15" customHeight="1">
      <c r="A782" s="10"/>
      <c r="D782" s="32" t="s">
        <v>1818</v>
      </c>
      <c r="G782" s="32" t="s">
        <v>1163</v>
      </c>
      <c r="I782" s="58">
        <v>85.52250000000001</v>
      </c>
      <c r="O782" s="30"/>
    </row>
    <row r="783" spans="1:64" ht="15" customHeight="1">
      <c r="A783" s="52" t="s">
        <v>624</v>
      </c>
      <c r="B783" s="43" t="s">
        <v>443</v>
      </c>
      <c r="C783" s="43" t="s">
        <v>1227</v>
      </c>
      <c r="D783" s="61" t="s">
        <v>862</v>
      </c>
      <c r="E783" s="61"/>
      <c r="F783" s="61"/>
      <c r="G783" s="61"/>
      <c r="H783" s="43" t="s">
        <v>1604</v>
      </c>
      <c r="I783" s="46">
        <v>256.5675</v>
      </c>
      <c r="J783" s="46">
        <v>0</v>
      </c>
      <c r="K783" s="46">
        <f>I783*AO783</f>
        <v>0</v>
      </c>
      <c r="L783" s="46">
        <f>I783*AP783</f>
        <v>0</v>
      </c>
      <c r="M783" s="46">
        <f>I783*J783</f>
        <v>0</v>
      </c>
      <c r="N783" s="46">
        <v>0</v>
      </c>
      <c r="O783" s="6" t="s">
        <v>1149</v>
      </c>
      <c r="Z783" s="46">
        <f>IF(AQ783="5",BJ783,0)</f>
        <v>0</v>
      </c>
      <c r="AB783" s="46">
        <f>IF(AQ783="1",BH783,0)</f>
        <v>0</v>
      </c>
      <c r="AC783" s="46">
        <f>IF(AQ783="1",BI783,0)</f>
        <v>0</v>
      </c>
      <c r="AD783" s="46">
        <f>IF(AQ783="7",BH783,0)</f>
        <v>0</v>
      </c>
      <c r="AE783" s="46">
        <f>IF(AQ783="7",BI783,0)</f>
        <v>0</v>
      </c>
      <c r="AF783" s="46">
        <f>IF(AQ783="2",BH783,0)</f>
        <v>0</v>
      </c>
      <c r="AG783" s="46">
        <f>IF(AQ783="2",BI783,0)</f>
        <v>0</v>
      </c>
      <c r="AH783" s="46">
        <f>IF(AQ783="0",BJ783,0)</f>
        <v>0</v>
      </c>
      <c r="AI783" s="1" t="s">
        <v>443</v>
      </c>
      <c r="AJ783" s="46">
        <f>IF(AN783=0,M783,0)</f>
        <v>0</v>
      </c>
      <c r="AK783" s="46">
        <f>IF(AN783=15,M783,0)</f>
        <v>0</v>
      </c>
      <c r="AL783" s="46">
        <f>IF(AN783=21,M783,0)</f>
        <v>0</v>
      </c>
      <c r="AN783" s="46">
        <v>21</v>
      </c>
      <c r="AO783" s="46">
        <f>J783*0</f>
        <v>0</v>
      </c>
      <c r="AP783" s="46">
        <f>J783*(1-0)</f>
        <v>0</v>
      </c>
      <c r="AQ783" s="42" t="s">
        <v>1648</v>
      </c>
      <c r="AV783" s="46">
        <f>AW783+AX783</f>
        <v>0</v>
      </c>
      <c r="AW783" s="46">
        <f>I783*AO783</f>
        <v>0</v>
      </c>
      <c r="AX783" s="46">
        <f>I783*AP783</f>
        <v>0</v>
      </c>
      <c r="AY783" s="42" t="s">
        <v>319</v>
      </c>
      <c r="AZ783" s="42" t="s">
        <v>297</v>
      </c>
      <c r="BA783" s="1" t="s">
        <v>402</v>
      </c>
      <c r="BC783" s="46">
        <f>AW783+AX783</f>
        <v>0</v>
      </c>
      <c r="BD783" s="46">
        <f>J783/(100-BE783)*100</f>
        <v>0</v>
      </c>
      <c r="BE783" s="46">
        <v>0</v>
      </c>
      <c r="BF783" s="46">
        <f>783</f>
        <v>783</v>
      </c>
      <c r="BH783" s="46">
        <f>I783*AO783</f>
        <v>0</v>
      </c>
      <c r="BI783" s="46">
        <f>I783*AP783</f>
        <v>0</v>
      </c>
      <c r="BJ783" s="46">
        <f>I783*J783</f>
        <v>0</v>
      </c>
      <c r="BK783" s="46"/>
      <c r="BL783" s="46">
        <v>17</v>
      </c>
    </row>
    <row r="784" spans="1:15" ht="15" customHeight="1">
      <c r="A784" s="10"/>
      <c r="D784" s="32" t="s">
        <v>1025</v>
      </c>
      <c r="G784" s="32" t="s">
        <v>821</v>
      </c>
      <c r="I784" s="58">
        <v>366.52500000000003</v>
      </c>
      <c r="O784" s="30"/>
    </row>
    <row r="785" spans="1:15" ht="15" customHeight="1">
      <c r="A785" s="10"/>
      <c r="D785" s="32" t="s">
        <v>1115</v>
      </c>
      <c r="G785" s="32" t="s">
        <v>110</v>
      </c>
      <c r="I785" s="58">
        <v>-109.95750000000001</v>
      </c>
      <c r="O785" s="30"/>
    </row>
    <row r="786" spans="1:47" ht="15" customHeight="1">
      <c r="A786" s="3" t="s">
        <v>1163</v>
      </c>
      <c r="B786" s="9" t="s">
        <v>443</v>
      </c>
      <c r="C786" s="9" t="s">
        <v>1333</v>
      </c>
      <c r="D786" s="64" t="s">
        <v>1677</v>
      </c>
      <c r="E786" s="64"/>
      <c r="F786" s="64"/>
      <c r="G786" s="64"/>
      <c r="H786" s="41" t="s">
        <v>1537</v>
      </c>
      <c r="I786" s="41" t="s">
        <v>1537</v>
      </c>
      <c r="J786" s="41" t="s">
        <v>1537</v>
      </c>
      <c r="K786" s="50">
        <f>SUM(K787:K789)</f>
        <v>0</v>
      </c>
      <c r="L786" s="50">
        <f>SUM(L787:L789)</f>
        <v>0</v>
      </c>
      <c r="M786" s="50">
        <f>SUM(M787:M789)</f>
        <v>0</v>
      </c>
      <c r="N786" s="1" t="s">
        <v>1163</v>
      </c>
      <c r="O786" s="45" t="s">
        <v>1163</v>
      </c>
      <c r="AI786" s="1" t="s">
        <v>443</v>
      </c>
      <c r="AS786" s="50">
        <f>SUM(AJ787:AJ789)</f>
        <v>0</v>
      </c>
      <c r="AT786" s="50">
        <f>SUM(AK787:AK789)</f>
        <v>0</v>
      </c>
      <c r="AU786" s="50">
        <f>SUM(AL787:AL789)</f>
        <v>0</v>
      </c>
    </row>
    <row r="787" spans="1:64" ht="15" customHeight="1">
      <c r="A787" s="52" t="s">
        <v>292</v>
      </c>
      <c r="B787" s="43" t="s">
        <v>443</v>
      </c>
      <c r="C787" s="43" t="s">
        <v>878</v>
      </c>
      <c r="D787" s="61" t="s">
        <v>1330</v>
      </c>
      <c r="E787" s="61"/>
      <c r="F787" s="61"/>
      <c r="G787" s="61"/>
      <c r="H787" s="43" t="s">
        <v>1629</v>
      </c>
      <c r="I787" s="46">
        <v>75</v>
      </c>
      <c r="J787" s="46">
        <v>0</v>
      </c>
      <c r="K787" s="46">
        <f>I787*AO787</f>
        <v>0</v>
      </c>
      <c r="L787" s="46">
        <f>I787*AP787</f>
        <v>0</v>
      </c>
      <c r="M787" s="46">
        <f>I787*J787</f>
        <v>0</v>
      </c>
      <c r="N787" s="46">
        <v>3E-05</v>
      </c>
      <c r="O787" s="6" t="s">
        <v>1149</v>
      </c>
      <c r="Z787" s="46">
        <f>IF(AQ787="5",BJ787,0)</f>
        <v>0</v>
      </c>
      <c r="AB787" s="46">
        <f>IF(AQ787="1",BH787,0)</f>
        <v>0</v>
      </c>
      <c r="AC787" s="46">
        <f>IF(AQ787="1",BI787,0)</f>
        <v>0</v>
      </c>
      <c r="AD787" s="46">
        <f>IF(AQ787="7",BH787,0)</f>
        <v>0</v>
      </c>
      <c r="AE787" s="46">
        <f>IF(AQ787="7",BI787,0)</f>
        <v>0</v>
      </c>
      <c r="AF787" s="46">
        <f>IF(AQ787="2",BH787,0)</f>
        <v>0</v>
      </c>
      <c r="AG787" s="46">
        <f>IF(AQ787="2",BI787,0)</f>
        <v>0</v>
      </c>
      <c r="AH787" s="46">
        <f>IF(AQ787="0",BJ787,0)</f>
        <v>0</v>
      </c>
      <c r="AI787" s="1" t="s">
        <v>443</v>
      </c>
      <c r="AJ787" s="46">
        <f>IF(AN787=0,M787,0)</f>
        <v>0</v>
      </c>
      <c r="AK787" s="46">
        <f>IF(AN787=15,M787,0)</f>
        <v>0</v>
      </c>
      <c r="AL787" s="46">
        <f>IF(AN787=21,M787,0)</f>
        <v>0</v>
      </c>
      <c r="AN787" s="46">
        <v>21</v>
      </c>
      <c r="AO787" s="46">
        <f>J787*0.0401051939513478</f>
        <v>0</v>
      </c>
      <c r="AP787" s="46">
        <f>J787*(1-0.0401051939513478)</f>
        <v>0</v>
      </c>
      <c r="AQ787" s="42" t="s">
        <v>1648</v>
      </c>
      <c r="AV787" s="46">
        <f>AW787+AX787</f>
        <v>0</v>
      </c>
      <c r="AW787" s="46">
        <f>I787*AO787</f>
        <v>0</v>
      </c>
      <c r="AX787" s="46">
        <f>I787*AP787</f>
        <v>0</v>
      </c>
      <c r="AY787" s="42" t="s">
        <v>814</v>
      </c>
      <c r="AZ787" s="42" t="s">
        <v>297</v>
      </c>
      <c r="BA787" s="1" t="s">
        <v>402</v>
      </c>
      <c r="BC787" s="46">
        <f>AW787+AX787</f>
        <v>0</v>
      </c>
      <c r="BD787" s="46">
        <f>J787/(100-BE787)*100</f>
        <v>0</v>
      </c>
      <c r="BE787" s="46">
        <v>0</v>
      </c>
      <c r="BF787" s="46">
        <f>787</f>
        <v>787</v>
      </c>
      <c r="BH787" s="46">
        <f>I787*AO787</f>
        <v>0</v>
      </c>
      <c r="BI787" s="46">
        <f>I787*AP787</f>
        <v>0</v>
      </c>
      <c r="BJ787" s="46">
        <f>I787*J787</f>
        <v>0</v>
      </c>
      <c r="BK787" s="46"/>
      <c r="BL787" s="46">
        <v>18</v>
      </c>
    </row>
    <row r="788" spans="1:15" ht="15" customHeight="1">
      <c r="A788" s="10"/>
      <c r="D788" s="32" t="s">
        <v>641</v>
      </c>
      <c r="G788" s="32" t="s">
        <v>1163</v>
      </c>
      <c r="I788" s="58">
        <v>75</v>
      </c>
      <c r="O788" s="30"/>
    </row>
    <row r="789" spans="1:64" ht="15" customHeight="1">
      <c r="A789" s="52" t="s">
        <v>1793</v>
      </c>
      <c r="B789" s="43" t="s">
        <v>443</v>
      </c>
      <c r="C789" s="43" t="s">
        <v>1686</v>
      </c>
      <c r="D789" s="61" t="s">
        <v>1779</v>
      </c>
      <c r="E789" s="61"/>
      <c r="F789" s="61"/>
      <c r="G789" s="61"/>
      <c r="H789" s="43" t="s">
        <v>1574</v>
      </c>
      <c r="I789" s="46">
        <v>1.5</v>
      </c>
      <c r="J789" s="46">
        <v>0</v>
      </c>
      <c r="K789" s="46">
        <f>I789*AO789</f>
        <v>0</v>
      </c>
      <c r="L789" s="46">
        <f>I789*AP789</f>
        <v>0</v>
      </c>
      <c r="M789" s="46">
        <f>I789*J789</f>
        <v>0</v>
      </c>
      <c r="N789" s="46">
        <v>0.001</v>
      </c>
      <c r="O789" s="6" t="s">
        <v>1149</v>
      </c>
      <c r="Z789" s="46">
        <f>IF(AQ789="5",BJ789,0)</f>
        <v>0</v>
      </c>
      <c r="AB789" s="46">
        <f>IF(AQ789="1",BH789,0)</f>
        <v>0</v>
      </c>
      <c r="AC789" s="46">
        <f>IF(AQ789="1",BI789,0)</f>
        <v>0</v>
      </c>
      <c r="AD789" s="46">
        <f>IF(AQ789="7",BH789,0)</f>
        <v>0</v>
      </c>
      <c r="AE789" s="46">
        <f>IF(AQ789="7",BI789,0)</f>
        <v>0</v>
      </c>
      <c r="AF789" s="46">
        <f>IF(AQ789="2",BH789,0)</f>
        <v>0</v>
      </c>
      <c r="AG789" s="46">
        <f>IF(AQ789="2",BI789,0)</f>
        <v>0</v>
      </c>
      <c r="AH789" s="46">
        <f>IF(AQ789="0",BJ789,0)</f>
        <v>0</v>
      </c>
      <c r="AI789" s="1" t="s">
        <v>443</v>
      </c>
      <c r="AJ789" s="46">
        <f>IF(AN789=0,M789,0)</f>
        <v>0</v>
      </c>
      <c r="AK789" s="46">
        <f>IF(AN789=15,M789,0)</f>
        <v>0</v>
      </c>
      <c r="AL789" s="46">
        <f>IF(AN789=21,M789,0)</f>
        <v>0</v>
      </c>
      <c r="AN789" s="46">
        <v>21</v>
      </c>
      <c r="AO789" s="46">
        <f>J789*1</f>
        <v>0</v>
      </c>
      <c r="AP789" s="46">
        <f>J789*(1-1)</f>
        <v>0</v>
      </c>
      <c r="AQ789" s="42" t="s">
        <v>1648</v>
      </c>
      <c r="AV789" s="46">
        <f>AW789+AX789</f>
        <v>0</v>
      </c>
      <c r="AW789" s="46">
        <f>I789*AO789</f>
        <v>0</v>
      </c>
      <c r="AX789" s="46">
        <f>I789*AP789</f>
        <v>0</v>
      </c>
      <c r="AY789" s="42" t="s">
        <v>814</v>
      </c>
      <c r="AZ789" s="42" t="s">
        <v>297</v>
      </c>
      <c r="BA789" s="1" t="s">
        <v>402</v>
      </c>
      <c r="BC789" s="46">
        <f>AW789+AX789</f>
        <v>0</v>
      </c>
      <c r="BD789" s="46">
        <f>J789/(100-BE789)*100</f>
        <v>0</v>
      </c>
      <c r="BE789" s="46">
        <v>0</v>
      </c>
      <c r="BF789" s="46">
        <f>789</f>
        <v>789</v>
      </c>
      <c r="BH789" s="46">
        <f>I789*AO789</f>
        <v>0</v>
      </c>
      <c r="BI789" s="46">
        <f>I789*AP789</f>
        <v>0</v>
      </c>
      <c r="BJ789" s="46">
        <f>I789*J789</f>
        <v>0</v>
      </c>
      <c r="BK789" s="46"/>
      <c r="BL789" s="46">
        <v>18</v>
      </c>
    </row>
    <row r="790" spans="1:15" ht="15" customHeight="1">
      <c r="A790" s="10"/>
      <c r="D790" s="32" t="s">
        <v>49</v>
      </c>
      <c r="G790" s="32" t="s">
        <v>1163</v>
      </c>
      <c r="I790" s="58">
        <v>1.5000000000000002</v>
      </c>
      <c r="O790" s="30"/>
    </row>
    <row r="791" spans="1:47" ht="15" customHeight="1">
      <c r="A791" s="3" t="s">
        <v>1163</v>
      </c>
      <c r="B791" s="9" t="s">
        <v>443</v>
      </c>
      <c r="C791" s="9" t="s">
        <v>1070</v>
      </c>
      <c r="D791" s="64" t="s">
        <v>567</v>
      </c>
      <c r="E791" s="64"/>
      <c r="F791" s="64"/>
      <c r="G791" s="64"/>
      <c r="H791" s="41" t="s">
        <v>1537</v>
      </c>
      <c r="I791" s="41" t="s">
        <v>1537</v>
      </c>
      <c r="J791" s="41" t="s">
        <v>1537</v>
      </c>
      <c r="K791" s="50">
        <f>SUM(K792:K792)</f>
        <v>0</v>
      </c>
      <c r="L791" s="50">
        <f>SUM(L792:L792)</f>
        <v>0</v>
      </c>
      <c r="M791" s="50">
        <f>SUM(M792:M792)</f>
        <v>0</v>
      </c>
      <c r="N791" s="1" t="s">
        <v>1163</v>
      </c>
      <c r="O791" s="45" t="s">
        <v>1163</v>
      </c>
      <c r="AI791" s="1" t="s">
        <v>443</v>
      </c>
      <c r="AS791" s="50">
        <f>SUM(AJ792:AJ792)</f>
        <v>0</v>
      </c>
      <c r="AT791" s="50">
        <f>SUM(AK792:AK792)</f>
        <v>0</v>
      </c>
      <c r="AU791" s="50">
        <f>SUM(AL792:AL792)</f>
        <v>0</v>
      </c>
    </row>
    <row r="792" spans="1:64" ht="15" customHeight="1">
      <c r="A792" s="52" t="s">
        <v>1214</v>
      </c>
      <c r="B792" s="43" t="s">
        <v>443</v>
      </c>
      <c r="C792" s="43" t="s">
        <v>1145</v>
      </c>
      <c r="D792" s="61" t="s">
        <v>1601</v>
      </c>
      <c r="E792" s="61"/>
      <c r="F792" s="61"/>
      <c r="G792" s="61"/>
      <c r="H792" s="43" t="s">
        <v>1604</v>
      </c>
      <c r="I792" s="46">
        <v>110</v>
      </c>
      <c r="J792" s="46">
        <v>0</v>
      </c>
      <c r="K792" s="46">
        <f>I792*AO792</f>
        <v>0</v>
      </c>
      <c r="L792" s="46">
        <f>I792*AP792</f>
        <v>0</v>
      </c>
      <c r="M792" s="46">
        <f>I792*J792</f>
        <v>0</v>
      </c>
      <c r="N792" s="46">
        <v>0</v>
      </c>
      <c r="O792" s="6" t="s">
        <v>1149</v>
      </c>
      <c r="Z792" s="46">
        <f>IF(AQ792="5",BJ792,0)</f>
        <v>0</v>
      </c>
      <c r="AB792" s="46">
        <f>IF(AQ792="1",BH792,0)</f>
        <v>0</v>
      </c>
      <c r="AC792" s="46">
        <f>IF(AQ792="1",BI792,0)</f>
        <v>0</v>
      </c>
      <c r="AD792" s="46">
        <f>IF(AQ792="7",BH792,0)</f>
        <v>0</v>
      </c>
      <c r="AE792" s="46">
        <f>IF(AQ792="7",BI792,0)</f>
        <v>0</v>
      </c>
      <c r="AF792" s="46">
        <f>IF(AQ792="2",BH792,0)</f>
        <v>0</v>
      </c>
      <c r="AG792" s="46">
        <f>IF(AQ792="2",BI792,0)</f>
        <v>0</v>
      </c>
      <c r="AH792" s="46">
        <f>IF(AQ792="0",BJ792,0)</f>
        <v>0</v>
      </c>
      <c r="AI792" s="1" t="s">
        <v>443</v>
      </c>
      <c r="AJ792" s="46">
        <f>IF(AN792=0,M792,0)</f>
        <v>0</v>
      </c>
      <c r="AK792" s="46">
        <f>IF(AN792=15,M792,0)</f>
        <v>0</v>
      </c>
      <c r="AL792" s="46">
        <f>IF(AN792=21,M792,0)</f>
        <v>0</v>
      </c>
      <c r="AN792" s="46">
        <v>21</v>
      </c>
      <c r="AO792" s="46">
        <f>J792*0</f>
        <v>0</v>
      </c>
      <c r="AP792" s="46">
        <f>J792*(1-0)</f>
        <v>0</v>
      </c>
      <c r="AQ792" s="42" t="s">
        <v>1648</v>
      </c>
      <c r="AV792" s="46">
        <f>AW792+AX792</f>
        <v>0</v>
      </c>
      <c r="AW792" s="46">
        <f>I792*AO792</f>
        <v>0</v>
      </c>
      <c r="AX792" s="46">
        <f>I792*AP792</f>
        <v>0</v>
      </c>
      <c r="AY792" s="42" t="s">
        <v>1313</v>
      </c>
      <c r="AZ792" s="42" t="s">
        <v>297</v>
      </c>
      <c r="BA792" s="1" t="s">
        <v>402</v>
      </c>
      <c r="BC792" s="46">
        <f>AW792+AX792</f>
        <v>0</v>
      </c>
      <c r="BD792" s="46">
        <f>J792/(100-BE792)*100</f>
        <v>0</v>
      </c>
      <c r="BE792" s="46">
        <v>0</v>
      </c>
      <c r="BF792" s="46">
        <f>792</f>
        <v>792</v>
      </c>
      <c r="BH792" s="46">
        <f>I792*AO792</f>
        <v>0</v>
      </c>
      <c r="BI792" s="46">
        <f>I792*AP792</f>
        <v>0</v>
      </c>
      <c r="BJ792" s="46">
        <f>I792*J792</f>
        <v>0</v>
      </c>
      <c r="BK792" s="46"/>
      <c r="BL792" s="46">
        <v>19</v>
      </c>
    </row>
    <row r="793" spans="1:15" ht="15" customHeight="1">
      <c r="A793" s="10"/>
      <c r="D793" s="32" t="s">
        <v>1080</v>
      </c>
      <c r="G793" s="32" t="s">
        <v>1398</v>
      </c>
      <c r="I793" s="58">
        <v>110.00000000000001</v>
      </c>
      <c r="O793" s="30"/>
    </row>
    <row r="794" spans="1:47" ht="15" customHeight="1">
      <c r="A794" s="3" t="s">
        <v>1163</v>
      </c>
      <c r="B794" s="9" t="s">
        <v>443</v>
      </c>
      <c r="C794" s="9" t="s">
        <v>572</v>
      </c>
      <c r="D794" s="64" t="s">
        <v>1299</v>
      </c>
      <c r="E794" s="64"/>
      <c r="F794" s="64"/>
      <c r="G794" s="64"/>
      <c r="H794" s="41" t="s">
        <v>1537</v>
      </c>
      <c r="I794" s="41" t="s">
        <v>1537</v>
      </c>
      <c r="J794" s="41" t="s">
        <v>1537</v>
      </c>
      <c r="K794" s="50">
        <f>SUM(K795:K795)</f>
        <v>0</v>
      </c>
      <c r="L794" s="50">
        <f>SUM(L795:L795)</f>
        <v>0</v>
      </c>
      <c r="M794" s="50">
        <f>SUM(M795:M795)</f>
        <v>0</v>
      </c>
      <c r="N794" s="1" t="s">
        <v>1163</v>
      </c>
      <c r="O794" s="45" t="s">
        <v>1163</v>
      </c>
      <c r="AI794" s="1" t="s">
        <v>443</v>
      </c>
      <c r="AS794" s="50">
        <f>SUM(AJ795:AJ795)</f>
        <v>0</v>
      </c>
      <c r="AT794" s="50">
        <f>SUM(AK795:AK795)</f>
        <v>0</v>
      </c>
      <c r="AU794" s="50">
        <f>SUM(AL795:AL795)</f>
        <v>0</v>
      </c>
    </row>
    <row r="795" spans="1:64" ht="15" customHeight="1">
      <c r="A795" s="52" t="s">
        <v>1125</v>
      </c>
      <c r="B795" s="43" t="s">
        <v>443</v>
      </c>
      <c r="C795" s="43" t="s">
        <v>1186</v>
      </c>
      <c r="D795" s="61" t="s">
        <v>474</v>
      </c>
      <c r="E795" s="61"/>
      <c r="F795" s="61"/>
      <c r="G795" s="61"/>
      <c r="H795" s="43" t="s">
        <v>1604</v>
      </c>
      <c r="I795" s="46">
        <v>24.435</v>
      </c>
      <c r="J795" s="46">
        <v>0</v>
      </c>
      <c r="K795" s="46">
        <f>I795*AO795</f>
        <v>0</v>
      </c>
      <c r="L795" s="46">
        <f>I795*AP795</f>
        <v>0</v>
      </c>
      <c r="M795" s="46">
        <f>I795*J795</f>
        <v>0</v>
      </c>
      <c r="N795" s="46">
        <v>1.89077</v>
      </c>
      <c r="O795" s="6" t="s">
        <v>1149</v>
      </c>
      <c r="Z795" s="46">
        <f>IF(AQ795="5",BJ795,0)</f>
        <v>0</v>
      </c>
      <c r="AB795" s="46">
        <f>IF(AQ795="1",BH795,0)</f>
        <v>0</v>
      </c>
      <c r="AC795" s="46">
        <f>IF(AQ795="1",BI795,0)</f>
        <v>0</v>
      </c>
      <c r="AD795" s="46">
        <f>IF(AQ795="7",BH795,0)</f>
        <v>0</v>
      </c>
      <c r="AE795" s="46">
        <f>IF(AQ795="7",BI795,0)</f>
        <v>0</v>
      </c>
      <c r="AF795" s="46">
        <f>IF(AQ795="2",BH795,0)</f>
        <v>0</v>
      </c>
      <c r="AG795" s="46">
        <f>IF(AQ795="2",BI795,0)</f>
        <v>0</v>
      </c>
      <c r="AH795" s="46">
        <f>IF(AQ795="0",BJ795,0)</f>
        <v>0</v>
      </c>
      <c r="AI795" s="1" t="s">
        <v>443</v>
      </c>
      <c r="AJ795" s="46">
        <f>IF(AN795=0,M795,0)</f>
        <v>0</v>
      </c>
      <c r="AK795" s="46">
        <f>IF(AN795=15,M795,0)</f>
        <v>0</v>
      </c>
      <c r="AL795" s="46">
        <f>IF(AN795=21,M795,0)</f>
        <v>0</v>
      </c>
      <c r="AN795" s="46">
        <v>21</v>
      </c>
      <c r="AO795" s="46">
        <f>J795*0.480904558404558</f>
        <v>0</v>
      </c>
      <c r="AP795" s="46">
        <f>J795*(1-0.480904558404558)</f>
        <v>0</v>
      </c>
      <c r="AQ795" s="42" t="s">
        <v>1648</v>
      </c>
      <c r="AV795" s="46">
        <f>AW795+AX795</f>
        <v>0</v>
      </c>
      <c r="AW795" s="46">
        <f>I795*AO795</f>
        <v>0</v>
      </c>
      <c r="AX795" s="46">
        <f>I795*AP795</f>
        <v>0</v>
      </c>
      <c r="AY795" s="42" t="s">
        <v>802</v>
      </c>
      <c r="AZ795" s="42" t="s">
        <v>1752</v>
      </c>
      <c r="BA795" s="1" t="s">
        <v>402</v>
      </c>
      <c r="BC795" s="46">
        <f>AW795+AX795</f>
        <v>0</v>
      </c>
      <c r="BD795" s="46">
        <f>J795/(100-BE795)*100</f>
        <v>0</v>
      </c>
      <c r="BE795" s="46">
        <v>0</v>
      </c>
      <c r="BF795" s="46">
        <f>795</f>
        <v>795</v>
      </c>
      <c r="BH795" s="46">
        <f>I795*AO795</f>
        <v>0</v>
      </c>
      <c r="BI795" s="46">
        <f>I795*AP795</f>
        <v>0</v>
      </c>
      <c r="BJ795" s="46">
        <f>I795*J795</f>
        <v>0</v>
      </c>
      <c r="BK795" s="46"/>
      <c r="BL795" s="46">
        <v>45</v>
      </c>
    </row>
    <row r="796" spans="1:15" ht="15" customHeight="1">
      <c r="A796" s="10"/>
      <c r="D796" s="32" t="s">
        <v>1300</v>
      </c>
      <c r="G796" s="32" t="s">
        <v>1163</v>
      </c>
      <c r="I796" s="58">
        <v>24.435000000000002</v>
      </c>
      <c r="O796" s="30"/>
    </row>
    <row r="797" spans="1:47" ht="15" customHeight="1">
      <c r="A797" s="3" t="s">
        <v>1163</v>
      </c>
      <c r="B797" s="9" t="s">
        <v>443</v>
      </c>
      <c r="C797" s="9" t="s">
        <v>76</v>
      </c>
      <c r="D797" s="64" t="s">
        <v>124</v>
      </c>
      <c r="E797" s="64"/>
      <c r="F797" s="64"/>
      <c r="G797" s="64"/>
      <c r="H797" s="41" t="s">
        <v>1537</v>
      </c>
      <c r="I797" s="41" t="s">
        <v>1537</v>
      </c>
      <c r="J797" s="41" t="s">
        <v>1537</v>
      </c>
      <c r="K797" s="50">
        <f>SUM(K798:K806)</f>
        <v>0</v>
      </c>
      <c r="L797" s="50">
        <f>SUM(L798:L806)</f>
        <v>0</v>
      </c>
      <c r="M797" s="50">
        <f>SUM(M798:M806)</f>
        <v>0</v>
      </c>
      <c r="N797" s="1" t="s">
        <v>1163</v>
      </c>
      <c r="O797" s="45" t="s">
        <v>1163</v>
      </c>
      <c r="AI797" s="1" t="s">
        <v>443</v>
      </c>
      <c r="AS797" s="50">
        <f>SUM(AJ798:AJ806)</f>
        <v>0</v>
      </c>
      <c r="AT797" s="50">
        <f>SUM(AK798:AK806)</f>
        <v>0</v>
      </c>
      <c r="AU797" s="50">
        <f>SUM(AL798:AL806)</f>
        <v>0</v>
      </c>
    </row>
    <row r="798" spans="1:64" ht="15" customHeight="1">
      <c r="A798" s="52" t="s">
        <v>1744</v>
      </c>
      <c r="B798" s="43" t="s">
        <v>443</v>
      </c>
      <c r="C798" s="43" t="s">
        <v>1519</v>
      </c>
      <c r="D798" s="61" t="s">
        <v>1207</v>
      </c>
      <c r="E798" s="61"/>
      <c r="F798" s="61"/>
      <c r="G798" s="61"/>
      <c r="H798" s="43" t="s">
        <v>1365</v>
      </c>
      <c r="I798" s="46">
        <v>295.3</v>
      </c>
      <c r="J798" s="46">
        <v>0</v>
      </c>
      <c r="K798" s="46">
        <f>I798*AO798</f>
        <v>0</v>
      </c>
      <c r="L798" s="46">
        <f>I798*AP798</f>
        <v>0</v>
      </c>
      <c r="M798" s="46">
        <f>I798*J798</f>
        <v>0</v>
      </c>
      <c r="N798" s="46">
        <v>0</v>
      </c>
      <c r="O798" s="6" t="s">
        <v>1149</v>
      </c>
      <c r="Z798" s="46">
        <f>IF(AQ798="5",BJ798,0)</f>
        <v>0</v>
      </c>
      <c r="AB798" s="46">
        <f>IF(AQ798="1",BH798,0)</f>
        <v>0</v>
      </c>
      <c r="AC798" s="46">
        <f>IF(AQ798="1",BI798,0)</f>
        <v>0</v>
      </c>
      <c r="AD798" s="46">
        <f>IF(AQ798="7",BH798,0)</f>
        <v>0</v>
      </c>
      <c r="AE798" s="46">
        <f>IF(AQ798="7",BI798,0)</f>
        <v>0</v>
      </c>
      <c r="AF798" s="46">
        <f>IF(AQ798="2",BH798,0)</f>
        <v>0</v>
      </c>
      <c r="AG798" s="46">
        <f>IF(AQ798="2",BI798,0)</f>
        <v>0</v>
      </c>
      <c r="AH798" s="46">
        <f>IF(AQ798="0",BJ798,0)</f>
        <v>0</v>
      </c>
      <c r="AI798" s="1" t="s">
        <v>443</v>
      </c>
      <c r="AJ798" s="46">
        <f>IF(AN798=0,M798,0)</f>
        <v>0</v>
      </c>
      <c r="AK798" s="46">
        <f>IF(AN798=15,M798,0)</f>
        <v>0</v>
      </c>
      <c r="AL798" s="46">
        <f>IF(AN798=21,M798,0)</f>
        <v>0</v>
      </c>
      <c r="AN798" s="46">
        <v>21</v>
      </c>
      <c r="AO798" s="46">
        <f>J798*0</f>
        <v>0</v>
      </c>
      <c r="AP798" s="46">
        <f>J798*(1-0)</f>
        <v>0</v>
      </c>
      <c r="AQ798" s="42" t="s">
        <v>1648</v>
      </c>
      <c r="AV798" s="46">
        <f>AW798+AX798</f>
        <v>0</v>
      </c>
      <c r="AW798" s="46">
        <f>I798*AO798</f>
        <v>0</v>
      </c>
      <c r="AX798" s="46">
        <f>I798*AP798</f>
        <v>0</v>
      </c>
      <c r="AY798" s="42" t="s">
        <v>109</v>
      </c>
      <c r="AZ798" s="42" t="s">
        <v>914</v>
      </c>
      <c r="BA798" s="1" t="s">
        <v>402</v>
      </c>
      <c r="BC798" s="46">
        <f>AW798+AX798</f>
        <v>0</v>
      </c>
      <c r="BD798" s="46">
        <f>J798/(100-BE798)*100</f>
        <v>0</v>
      </c>
      <c r="BE798" s="46">
        <v>0</v>
      </c>
      <c r="BF798" s="46">
        <f>798</f>
        <v>798</v>
      </c>
      <c r="BH798" s="46">
        <f>I798*AO798</f>
        <v>0</v>
      </c>
      <c r="BI798" s="46">
        <f>I798*AP798</f>
        <v>0</v>
      </c>
      <c r="BJ798" s="46">
        <f>I798*J798</f>
        <v>0</v>
      </c>
      <c r="BK798" s="46"/>
      <c r="BL798" s="46">
        <v>87</v>
      </c>
    </row>
    <row r="799" spans="1:15" ht="15" customHeight="1">
      <c r="A799" s="10"/>
      <c r="D799" s="32" t="s">
        <v>415</v>
      </c>
      <c r="G799" s="32" t="s">
        <v>171</v>
      </c>
      <c r="I799" s="58">
        <v>196.70000000000002</v>
      </c>
      <c r="O799" s="30"/>
    </row>
    <row r="800" spans="1:15" ht="15" customHeight="1">
      <c r="A800" s="10"/>
      <c r="D800" s="32" t="s">
        <v>1453</v>
      </c>
      <c r="G800" s="32" t="s">
        <v>1163</v>
      </c>
      <c r="I800" s="58">
        <v>98.60000000000001</v>
      </c>
      <c r="O800" s="30"/>
    </row>
    <row r="801" spans="1:64" ht="15" customHeight="1">
      <c r="A801" s="52" t="s">
        <v>1715</v>
      </c>
      <c r="B801" s="43" t="s">
        <v>443</v>
      </c>
      <c r="C801" s="43" t="s">
        <v>967</v>
      </c>
      <c r="D801" s="61" t="s">
        <v>219</v>
      </c>
      <c r="E801" s="61"/>
      <c r="F801" s="61"/>
      <c r="G801" s="61"/>
      <c r="H801" s="43" t="s">
        <v>1365</v>
      </c>
      <c r="I801" s="46">
        <v>298.253</v>
      </c>
      <c r="J801" s="46">
        <v>0</v>
      </c>
      <c r="K801" s="46">
        <f>I801*AO801</f>
        <v>0</v>
      </c>
      <c r="L801" s="46">
        <f>I801*AP801</f>
        <v>0</v>
      </c>
      <c r="M801" s="46">
        <f>I801*J801</f>
        <v>0</v>
      </c>
      <c r="N801" s="46">
        <v>0.00027</v>
      </c>
      <c r="O801" s="6" t="s">
        <v>1149</v>
      </c>
      <c r="Z801" s="46">
        <f>IF(AQ801="5",BJ801,0)</f>
        <v>0</v>
      </c>
      <c r="AB801" s="46">
        <f>IF(AQ801="1",BH801,0)</f>
        <v>0</v>
      </c>
      <c r="AC801" s="46">
        <f>IF(AQ801="1",BI801,0)</f>
        <v>0</v>
      </c>
      <c r="AD801" s="46">
        <f>IF(AQ801="7",BH801,0)</f>
        <v>0</v>
      </c>
      <c r="AE801" s="46">
        <f>IF(AQ801="7",BI801,0)</f>
        <v>0</v>
      </c>
      <c r="AF801" s="46">
        <f>IF(AQ801="2",BH801,0)</f>
        <v>0</v>
      </c>
      <c r="AG801" s="46">
        <f>IF(AQ801="2",BI801,0)</f>
        <v>0</v>
      </c>
      <c r="AH801" s="46">
        <f>IF(AQ801="0",BJ801,0)</f>
        <v>0</v>
      </c>
      <c r="AI801" s="1" t="s">
        <v>443</v>
      </c>
      <c r="AJ801" s="46">
        <f>IF(AN801=0,M801,0)</f>
        <v>0</v>
      </c>
      <c r="AK801" s="46">
        <f>IF(AN801=15,M801,0)</f>
        <v>0</v>
      </c>
      <c r="AL801" s="46">
        <f>IF(AN801=21,M801,0)</f>
        <v>0</v>
      </c>
      <c r="AN801" s="46">
        <v>21</v>
      </c>
      <c r="AO801" s="46">
        <f>J801*1</f>
        <v>0</v>
      </c>
      <c r="AP801" s="46">
        <f>J801*(1-1)</f>
        <v>0</v>
      </c>
      <c r="AQ801" s="42" t="s">
        <v>1648</v>
      </c>
      <c r="AV801" s="46">
        <f>AW801+AX801</f>
        <v>0</v>
      </c>
      <c r="AW801" s="46">
        <f>I801*AO801</f>
        <v>0</v>
      </c>
      <c r="AX801" s="46">
        <f>I801*AP801</f>
        <v>0</v>
      </c>
      <c r="AY801" s="42" t="s">
        <v>109</v>
      </c>
      <c r="AZ801" s="42" t="s">
        <v>914</v>
      </c>
      <c r="BA801" s="1" t="s">
        <v>402</v>
      </c>
      <c r="BC801" s="46">
        <f>AW801+AX801</f>
        <v>0</v>
      </c>
      <c r="BD801" s="46">
        <f>J801/(100-BE801)*100</f>
        <v>0</v>
      </c>
      <c r="BE801" s="46">
        <v>0</v>
      </c>
      <c r="BF801" s="46">
        <f>801</f>
        <v>801</v>
      </c>
      <c r="BH801" s="46">
        <f>I801*AO801</f>
        <v>0</v>
      </c>
      <c r="BI801" s="46">
        <f>I801*AP801</f>
        <v>0</v>
      </c>
      <c r="BJ801" s="46">
        <f>I801*J801</f>
        <v>0</v>
      </c>
      <c r="BK801" s="46"/>
      <c r="BL801" s="46">
        <v>87</v>
      </c>
    </row>
    <row r="802" spans="1:15" ht="15" customHeight="1">
      <c r="A802" s="10"/>
      <c r="D802" s="32" t="s">
        <v>497</v>
      </c>
      <c r="G802" s="32" t="s">
        <v>368</v>
      </c>
      <c r="I802" s="58">
        <v>298.25300000000004</v>
      </c>
      <c r="O802" s="30"/>
    </row>
    <row r="803" spans="1:64" ht="15" customHeight="1">
      <c r="A803" s="52" t="s">
        <v>348</v>
      </c>
      <c r="B803" s="43" t="s">
        <v>443</v>
      </c>
      <c r="C803" s="43" t="s">
        <v>713</v>
      </c>
      <c r="D803" s="61" t="s">
        <v>1705</v>
      </c>
      <c r="E803" s="61"/>
      <c r="F803" s="61"/>
      <c r="G803" s="61"/>
      <c r="H803" s="43" t="s">
        <v>392</v>
      </c>
      <c r="I803" s="46">
        <v>24</v>
      </c>
      <c r="J803" s="46">
        <v>0</v>
      </c>
      <c r="K803" s="46">
        <f>I803*AO803</f>
        <v>0</v>
      </c>
      <c r="L803" s="46">
        <f>I803*AP803</f>
        <v>0</v>
      </c>
      <c r="M803" s="46">
        <f>I803*J803</f>
        <v>0</v>
      </c>
      <c r="N803" s="46">
        <v>0</v>
      </c>
      <c r="O803" s="6" t="s">
        <v>1149</v>
      </c>
      <c r="Z803" s="46">
        <f>IF(AQ803="5",BJ803,0)</f>
        <v>0</v>
      </c>
      <c r="AB803" s="46">
        <f>IF(AQ803="1",BH803,0)</f>
        <v>0</v>
      </c>
      <c r="AC803" s="46">
        <f>IF(AQ803="1",BI803,0)</f>
        <v>0</v>
      </c>
      <c r="AD803" s="46">
        <f>IF(AQ803="7",BH803,0)</f>
        <v>0</v>
      </c>
      <c r="AE803" s="46">
        <f>IF(AQ803="7",BI803,0)</f>
        <v>0</v>
      </c>
      <c r="AF803" s="46">
        <f>IF(AQ803="2",BH803,0)</f>
        <v>0</v>
      </c>
      <c r="AG803" s="46">
        <f>IF(AQ803="2",BI803,0)</f>
        <v>0</v>
      </c>
      <c r="AH803" s="46">
        <f>IF(AQ803="0",BJ803,0)</f>
        <v>0</v>
      </c>
      <c r="AI803" s="1" t="s">
        <v>443</v>
      </c>
      <c r="AJ803" s="46">
        <f>IF(AN803=0,M803,0)</f>
        <v>0</v>
      </c>
      <c r="AK803" s="46">
        <f>IF(AN803=15,M803,0)</f>
        <v>0</v>
      </c>
      <c r="AL803" s="46">
        <f>IF(AN803=21,M803,0)</f>
        <v>0</v>
      </c>
      <c r="AN803" s="46">
        <v>21</v>
      </c>
      <c r="AO803" s="46">
        <f>J803*0</f>
        <v>0</v>
      </c>
      <c r="AP803" s="46">
        <f>J803*(1-0)</f>
        <v>0</v>
      </c>
      <c r="AQ803" s="42" t="s">
        <v>1648</v>
      </c>
      <c r="AV803" s="46">
        <f>AW803+AX803</f>
        <v>0</v>
      </c>
      <c r="AW803" s="46">
        <f>I803*AO803</f>
        <v>0</v>
      </c>
      <c r="AX803" s="46">
        <f>I803*AP803</f>
        <v>0</v>
      </c>
      <c r="AY803" s="42" t="s">
        <v>109</v>
      </c>
      <c r="AZ803" s="42" t="s">
        <v>914</v>
      </c>
      <c r="BA803" s="1" t="s">
        <v>402</v>
      </c>
      <c r="BC803" s="46">
        <f>AW803+AX803</f>
        <v>0</v>
      </c>
      <c r="BD803" s="46">
        <f>J803/(100-BE803)*100</f>
        <v>0</v>
      </c>
      <c r="BE803" s="46">
        <v>0</v>
      </c>
      <c r="BF803" s="46">
        <f>803</f>
        <v>803</v>
      </c>
      <c r="BH803" s="46">
        <f>I803*AO803</f>
        <v>0</v>
      </c>
      <c r="BI803" s="46">
        <f>I803*AP803</f>
        <v>0</v>
      </c>
      <c r="BJ803" s="46">
        <f>I803*J803</f>
        <v>0</v>
      </c>
      <c r="BK803" s="46"/>
      <c r="BL803" s="46">
        <v>87</v>
      </c>
    </row>
    <row r="804" spans="1:15" ht="15" customHeight="1">
      <c r="A804" s="10"/>
      <c r="D804" s="32" t="s">
        <v>160</v>
      </c>
      <c r="G804" s="32" t="s">
        <v>665</v>
      </c>
      <c r="I804" s="58">
        <v>24.000000000000004</v>
      </c>
      <c r="O804" s="30"/>
    </row>
    <row r="805" spans="1:64" ht="15" customHeight="1">
      <c r="A805" s="52" t="s">
        <v>1670</v>
      </c>
      <c r="B805" s="43" t="s">
        <v>443</v>
      </c>
      <c r="C805" s="43" t="s">
        <v>1782</v>
      </c>
      <c r="D805" s="61" t="s">
        <v>725</v>
      </c>
      <c r="E805" s="61"/>
      <c r="F805" s="61"/>
      <c r="G805" s="61"/>
      <c r="H805" s="43" t="s">
        <v>392</v>
      </c>
      <c r="I805" s="46">
        <v>24</v>
      </c>
      <c r="J805" s="46">
        <v>0</v>
      </c>
      <c r="K805" s="46">
        <f>I805*AO805</f>
        <v>0</v>
      </c>
      <c r="L805" s="46">
        <f>I805*AP805</f>
        <v>0</v>
      </c>
      <c r="M805" s="46">
        <f>I805*J805</f>
        <v>0</v>
      </c>
      <c r="N805" s="46">
        <v>0.0001</v>
      </c>
      <c r="O805" s="6" t="s">
        <v>1149</v>
      </c>
      <c r="Z805" s="46">
        <f>IF(AQ805="5",BJ805,0)</f>
        <v>0</v>
      </c>
      <c r="AB805" s="46">
        <f>IF(AQ805="1",BH805,0)</f>
        <v>0</v>
      </c>
      <c r="AC805" s="46">
        <f>IF(AQ805="1",BI805,0)</f>
        <v>0</v>
      </c>
      <c r="AD805" s="46">
        <f>IF(AQ805="7",BH805,0)</f>
        <v>0</v>
      </c>
      <c r="AE805" s="46">
        <f>IF(AQ805="7",BI805,0)</f>
        <v>0</v>
      </c>
      <c r="AF805" s="46">
        <f>IF(AQ805="2",BH805,0)</f>
        <v>0</v>
      </c>
      <c r="AG805" s="46">
        <f>IF(AQ805="2",BI805,0)</f>
        <v>0</v>
      </c>
      <c r="AH805" s="46">
        <f>IF(AQ805="0",BJ805,0)</f>
        <v>0</v>
      </c>
      <c r="AI805" s="1" t="s">
        <v>443</v>
      </c>
      <c r="AJ805" s="46">
        <f>IF(AN805=0,M805,0)</f>
        <v>0</v>
      </c>
      <c r="AK805" s="46">
        <f>IF(AN805=15,M805,0)</f>
        <v>0</v>
      </c>
      <c r="AL805" s="46">
        <f>IF(AN805=21,M805,0)</f>
        <v>0</v>
      </c>
      <c r="AN805" s="46">
        <v>21</v>
      </c>
      <c r="AO805" s="46">
        <f>J805*1</f>
        <v>0</v>
      </c>
      <c r="AP805" s="46">
        <f>J805*(1-1)</f>
        <v>0</v>
      </c>
      <c r="AQ805" s="42" t="s">
        <v>1648</v>
      </c>
      <c r="AV805" s="46">
        <f>AW805+AX805</f>
        <v>0</v>
      </c>
      <c r="AW805" s="46">
        <f>I805*AO805</f>
        <v>0</v>
      </c>
      <c r="AX805" s="46">
        <f>I805*AP805</f>
        <v>0</v>
      </c>
      <c r="AY805" s="42" t="s">
        <v>109</v>
      </c>
      <c r="AZ805" s="42" t="s">
        <v>914</v>
      </c>
      <c r="BA805" s="1" t="s">
        <v>402</v>
      </c>
      <c r="BC805" s="46">
        <f>AW805+AX805</f>
        <v>0</v>
      </c>
      <c r="BD805" s="46">
        <f>J805/(100-BE805)*100</f>
        <v>0</v>
      </c>
      <c r="BE805" s="46">
        <v>0</v>
      </c>
      <c r="BF805" s="46">
        <f>805</f>
        <v>805</v>
      </c>
      <c r="BH805" s="46">
        <f>I805*AO805</f>
        <v>0</v>
      </c>
      <c r="BI805" s="46">
        <f>I805*AP805</f>
        <v>0</v>
      </c>
      <c r="BJ805" s="46">
        <f>I805*J805</f>
        <v>0</v>
      </c>
      <c r="BK805" s="46"/>
      <c r="BL805" s="46">
        <v>87</v>
      </c>
    </row>
    <row r="806" spans="1:64" ht="15" customHeight="1">
      <c r="A806" s="52" t="s">
        <v>1196</v>
      </c>
      <c r="B806" s="43" t="s">
        <v>443</v>
      </c>
      <c r="C806" s="43" t="s">
        <v>1023</v>
      </c>
      <c r="D806" s="61" t="s">
        <v>427</v>
      </c>
      <c r="E806" s="61"/>
      <c r="F806" s="61"/>
      <c r="G806" s="61"/>
      <c r="H806" s="43" t="s">
        <v>392</v>
      </c>
      <c r="I806" s="46">
        <v>23</v>
      </c>
      <c r="J806" s="46">
        <v>0</v>
      </c>
      <c r="K806" s="46">
        <f>I806*AO806</f>
        <v>0</v>
      </c>
      <c r="L806" s="46">
        <f>I806*AP806</f>
        <v>0</v>
      </c>
      <c r="M806" s="46">
        <f>I806*J806</f>
        <v>0</v>
      </c>
      <c r="N806" s="46">
        <v>0</v>
      </c>
      <c r="O806" s="6" t="s">
        <v>1149</v>
      </c>
      <c r="Z806" s="46">
        <f>IF(AQ806="5",BJ806,0)</f>
        <v>0</v>
      </c>
      <c r="AB806" s="46">
        <f>IF(AQ806="1",BH806,0)</f>
        <v>0</v>
      </c>
      <c r="AC806" s="46">
        <f>IF(AQ806="1",BI806,0)</f>
        <v>0</v>
      </c>
      <c r="AD806" s="46">
        <f>IF(AQ806="7",BH806,0)</f>
        <v>0</v>
      </c>
      <c r="AE806" s="46">
        <f>IF(AQ806="7",BI806,0)</f>
        <v>0</v>
      </c>
      <c r="AF806" s="46">
        <f>IF(AQ806="2",BH806,0)</f>
        <v>0</v>
      </c>
      <c r="AG806" s="46">
        <f>IF(AQ806="2",BI806,0)</f>
        <v>0</v>
      </c>
      <c r="AH806" s="46">
        <f>IF(AQ806="0",BJ806,0)</f>
        <v>0</v>
      </c>
      <c r="AI806" s="1" t="s">
        <v>443</v>
      </c>
      <c r="AJ806" s="46">
        <f>IF(AN806=0,M806,0)</f>
        <v>0</v>
      </c>
      <c r="AK806" s="46">
        <f>IF(AN806=15,M806,0)</f>
        <v>0</v>
      </c>
      <c r="AL806" s="46">
        <f>IF(AN806=21,M806,0)</f>
        <v>0</v>
      </c>
      <c r="AN806" s="46">
        <v>21</v>
      </c>
      <c r="AO806" s="46">
        <f>J806*1</f>
        <v>0</v>
      </c>
      <c r="AP806" s="46">
        <f>J806*(1-1)</f>
        <v>0</v>
      </c>
      <c r="AQ806" s="42" t="s">
        <v>1648</v>
      </c>
      <c r="AV806" s="46">
        <f>AW806+AX806</f>
        <v>0</v>
      </c>
      <c r="AW806" s="46">
        <f>I806*AO806</f>
        <v>0</v>
      </c>
      <c r="AX806" s="46">
        <f>I806*AP806</f>
        <v>0</v>
      </c>
      <c r="AY806" s="42" t="s">
        <v>109</v>
      </c>
      <c r="AZ806" s="42" t="s">
        <v>914</v>
      </c>
      <c r="BA806" s="1" t="s">
        <v>402</v>
      </c>
      <c r="BC806" s="46">
        <f>AW806+AX806</f>
        <v>0</v>
      </c>
      <c r="BD806" s="46">
        <f>J806/(100-BE806)*100</f>
        <v>0</v>
      </c>
      <c r="BE806" s="46">
        <v>0</v>
      </c>
      <c r="BF806" s="46">
        <f>806</f>
        <v>806</v>
      </c>
      <c r="BH806" s="46">
        <f>I806*AO806</f>
        <v>0</v>
      </c>
      <c r="BI806" s="46">
        <f>I806*AP806</f>
        <v>0</v>
      </c>
      <c r="BJ806" s="46">
        <f>I806*J806</f>
        <v>0</v>
      </c>
      <c r="BK806" s="46"/>
      <c r="BL806" s="46">
        <v>87</v>
      </c>
    </row>
    <row r="807" spans="1:15" ht="15" customHeight="1">
      <c r="A807" s="10"/>
      <c r="D807" s="32" t="s">
        <v>726</v>
      </c>
      <c r="G807" s="32" t="s">
        <v>1263</v>
      </c>
      <c r="I807" s="58">
        <v>23.000000000000004</v>
      </c>
      <c r="O807" s="30"/>
    </row>
    <row r="808" spans="1:47" ht="15" customHeight="1">
      <c r="A808" s="3" t="s">
        <v>1163</v>
      </c>
      <c r="B808" s="9" t="s">
        <v>443</v>
      </c>
      <c r="C808" s="9" t="s">
        <v>1754</v>
      </c>
      <c r="D808" s="64" t="s">
        <v>1089</v>
      </c>
      <c r="E808" s="64"/>
      <c r="F808" s="64"/>
      <c r="G808" s="64"/>
      <c r="H808" s="41" t="s">
        <v>1537</v>
      </c>
      <c r="I808" s="41" t="s">
        <v>1537</v>
      </c>
      <c r="J808" s="41" t="s">
        <v>1537</v>
      </c>
      <c r="K808" s="50">
        <f>SUM(K809:K816)</f>
        <v>0</v>
      </c>
      <c r="L808" s="50">
        <f>SUM(L809:L816)</f>
        <v>0</v>
      </c>
      <c r="M808" s="50">
        <f>SUM(M809:M816)</f>
        <v>0</v>
      </c>
      <c r="N808" s="1" t="s">
        <v>1163</v>
      </c>
      <c r="O808" s="45" t="s">
        <v>1163</v>
      </c>
      <c r="AI808" s="1" t="s">
        <v>443</v>
      </c>
      <c r="AS808" s="50">
        <f>SUM(AJ809:AJ816)</f>
        <v>0</v>
      </c>
      <c r="AT808" s="50">
        <f>SUM(AK809:AK816)</f>
        <v>0</v>
      </c>
      <c r="AU808" s="50">
        <f>SUM(AL809:AL816)</f>
        <v>0</v>
      </c>
    </row>
    <row r="809" spans="1:64" ht="15" customHeight="1">
      <c r="A809" s="52" t="s">
        <v>207</v>
      </c>
      <c r="B809" s="43" t="s">
        <v>443</v>
      </c>
      <c r="C809" s="43" t="s">
        <v>305</v>
      </c>
      <c r="D809" s="61" t="s">
        <v>1766</v>
      </c>
      <c r="E809" s="61"/>
      <c r="F809" s="61"/>
      <c r="G809" s="61"/>
      <c r="H809" s="43" t="s">
        <v>1365</v>
      </c>
      <c r="I809" s="46">
        <v>314.16</v>
      </c>
      <c r="J809" s="46">
        <v>0</v>
      </c>
      <c r="K809" s="46">
        <f>I809*AO809</f>
        <v>0</v>
      </c>
      <c r="L809" s="46">
        <f>I809*AP809</f>
        <v>0</v>
      </c>
      <c r="M809" s="46">
        <f>I809*J809</f>
        <v>0</v>
      </c>
      <c r="N809" s="46">
        <v>0</v>
      </c>
      <c r="O809" s="6" t="s">
        <v>1149</v>
      </c>
      <c r="Z809" s="46">
        <f>IF(AQ809="5",BJ809,0)</f>
        <v>0</v>
      </c>
      <c r="AB809" s="46">
        <f>IF(AQ809="1",BH809,0)</f>
        <v>0</v>
      </c>
      <c r="AC809" s="46">
        <f>IF(AQ809="1",BI809,0)</f>
        <v>0</v>
      </c>
      <c r="AD809" s="46">
        <f>IF(AQ809="7",BH809,0)</f>
        <v>0</v>
      </c>
      <c r="AE809" s="46">
        <f>IF(AQ809="7",BI809,0)</f>
        <v>0</v>
      </c>
      <c r="AF809" s="46">
        <f>IF(AQ809="2",BH809,0)</f>
        <v>0</v>
      </c>
      <c r="AG809" s="46">
        <f>IF(AQ809="2",BI809,0)</f>
        <v>0</v>
      </c>
      <c r="AH809" s="46">
        <f>IF(AQ809="0",BJ809,0)</f>
        <v>0</v>
      </c>
      <c r="AI809" s="1" t="s">
        <v>443</v>
      </c>
      <c r="AJ809" s="46">
        <f>IF(AN809=0,M809,0)</f>
        <v>0</v>
      </c>
      <c r="AK809" s="46">
        <f>IF(AN809=15,M809,0)</f>
        <v>0</v>
      </c>
      <c r="AL809" s="46">
        <f>IF(AN809=21,M809,0)</f>
        <v>0</v>
      </c>
      <c r="AN809" s="46">
        <v>21</v>
      </c>
      <c r="AO809" s="46">
        <f>J809*0.322424242424242</f>
        <v>0</v>
      </c>
      <c r="AP809" s="46">
        <f>J809*(1-0.322424242424242)</f>
        <v>0</v>
      </c>
      <c r="AQ809" s="42" t="s">
        <v>1648</v>
      </c>
      <c r="AV809" s="46">
        <f>AW809+AX809</f>
        <v>0</v>
      </c>
      <c r="AW809" s="46">
        <f>I809*AO809</f>
        <v>0</v>
      </c>
      <c r="AX809" s="46">
        <f>I809*AP809</f>
        <v>0</v>
      </c>
      <c r="AY809" s="42" t="s">
        <v>132</v>
      </c>
      <c r="AZ809" s="42" t="s">
        <v>914</v>
      </c>
      <c r="BA809" s="1" t="s">
        <v>402</v>
      </c>
      <c r="BC809" s="46">
        <f>AW809+AX809</f>
        <v>0</v>
      </c>
      <c r="BD809" s="46">
        <f>J809/(100-BE809)*100</f>
        <v>0</v>
      </c>
      <c r="BE809" s="46">
        <v>0</v>
      </c>
      <c r="BF809" s="46">
        <f>809</f>
        <v>809</v>
      </c>
      <c r="BH809" s="46">
        <f>I809*AO809</f>
        <v>0</v>
      </c>
      <c r="BI809" s="46">
        <f>I809*AP809</f>
        <v>0</v>
      </c>
      <c r="BJ809" s="46">
        <f>I809*J809</f>
        <v>0</v>
      </c>
      <c r="BK809" s="46"/>
      <c r="BL809" s="46">
        <v>89</v>
      </c>
    </row>
    <row r="810" spans="1:15" ht="15" customHeight="1">
      <c r="A810" s="10"/>
      <c r="D810" s="32" t="s">
        <v>1050</v>
      </c>
      <c r="G810" s="32" t="s">
        <v>963</v>
      </c>
      <c r="I810" s="58">
        <v>314.16</v>
      </c>
      <c r="O810" s="30"/>
    </row>
    <row r="811" spans="1:64" ht="15" customHeight="1">
      <c r="A811" s="52" t="s">
        <v>950</v>
      </c>
      <c r="B811" s="43" t="s">
        <v>443</v>
      </c>
      <c r="C811" s="43" t="s">
        <v>6</v>
      </c>
      <c r="D811" s="61" t="s">
        <v>1830</v>
      </c>
      <c r="E811" s="61"/>
      <c r="F811" s="61"/>
      <c r="G811" s="61"/>
      <c r="H811" s="43" t="s">
        <v>1365</v>
      </c>
      <c r="I811" s="46">
        <v>309.75</v>
      </c>
      <c r="J811" s="46">
        <v>0</v>
      </c>
      <c r="K811" s="46">
        <f>I811*AO811</f>
        <v>0</v>
      </c>
      <c r="L811" s="46">
        <f>I811*AP811</f>
        <v>0</v>
      </c>
      <c r="M811" s="46">
        <f>I811*J811</f>
        <v>0</v>
      </c>
      <c r="N811" s="46">
        <v>8E-05</v>
      </c>
      <c r="O811" s="6" t="s">
        <v>1149</v>
      </c>
      <c r="Z811" s="46">
        <f>IF(AQ811="5",BJ811,0)</f>
        <v>0</v>
      </c>
      <c r="AB811" s="46">
        <f>IF(AQ811="1",BH811,0)</f>
        <v>0</v>
      </c>
      <c r="AC811" s="46">
        <f>IF(AQ811="1",BI811,0)</f>
        <v>0</v>
      </c>
      <c r="AD811" s="46">
        <f>IF(AQ811="7",BH811,0)</f>
        <v>0</v>
      </c>
      <c r="AE811" s="46">
        <f>IF(AQ811="7",BI811,0)</f>
        <v>0</v>
      </c>
      <c r="AF811" s="46">
        <f>IF(AQ811="2",BH811,0)</f>
        <v>0</v>
      </c>
      <c r="AG811" s="46">
        <f>IF(AQ811="2",BI811,0)</f>
        <v>0</v>
      </c>
      <c r="AH811" s="46">
        <f>IF(AQ811="0",BJ811,0)</f>
        <v>0</v>
      </c>
      <c r="AI811" s="1" t="s">
        <v>443</v>
      </c>
      <c r="AJ811" s="46">
        <f>IF(AN811=0,M811,0)</f>
        <v>0</v>
      </c>
      <c r="AK811" s="46">
        <f>IF(AN811=15,M811,0)</f>
        <v>0</v>
      </c>
      <c r="AL811" s="46">
        <f>IF(AN811=21,M811,0)</f>
        <v>0</v>
      </c>
      <c r="AN811" s="46">
        <v>21</v>
      </c>
      <c r="AO811" s="46">
        <f>J811*0.591899441340782</f>
        <v>0</v>
      </c>
      <c r="AP811" s="46">
        <f>J811*(1-0.591899441340782)</f>
        <v>0</v>
      </c>
      <c r="AQ811" s="42" t="s">
        <v>1648</v>
      </c>
      <c r="AV811" s="46">
        <f>AW811+AX811</f>
        <v>0</v>
      </c>
      <c r="AW811" s="46">
        <f>I811*AO811</f>
        <v>0</v>
      </c>
      <c r="AX811" s="46">
        <f>I811*AP811</f>
        <v>0</v>
      </c>
      <c r="AY811" s="42" t="s">
        <v>132</v>
      </c>
      <c r="AZ811" s="42" t="s">
        <v>914</v>
      </c>
      <c r="BA811" s="1" t="s">
        <v>402</v>
      </c>
      <c r="BC811" s="46">
        <f>AW811+AX811</f>
        <v>0</v>
      </c>
      <c r="BD811" s="46">
        <f>J811/(100-BE811)*100</f>
        <v>0</v>
      </c>
      <c r="BE811" s="46">
        <v>0</v>
      </c>
      <c r="BF811" s="46">
        <f>811</f>
        <v>811</v>
      </c>
      <c r="BH811" s="46">
        <f>I811*AO811</f>
        <v>0</v>
      </c>
      <c r="BI811" s="46">
        <f>I811*AP811</f>
        <v>0</v>
      </c>
      <c r="BJ811" s="46">
        <f>I811*J811</f>
        <v>0</v>
      </c>
      <c r="BK811" s="46"/>
      <c r="BL811" s="46">
        <v>89</v>
      </c>
    </row>
    <row r="812" spans="1:15" ht="15" customHeight="1">
      <c r="A812" s="10"/>
      <c r="D812" s="32" t="s">
        <v>1459</v>
      </c>
      <c r="G812" s="32" t="s">
        <v>367</v>
      </c>
      <c r="I812" s="58">
        <v>309.75</v>
      </c>
      <c r="O812" s="30"/>
    </row>
    <row r="813" spans="1:64" ht="15" customHeight="1">
      <c r="A813" s="52" t="s">
        <v>1765</v>
      </c>
      <c r="B813" s="43" t="s">
        <v>443</v>
      </c>
      <c r="C813" s="43" t="s">
        <v>1546</v>
      </c>
      <c r="D813" s="61" t="s">
        <v>317</v>
      </c>
      <c r="E813" s="61"/>
      <c r="F813" s="61"/>
      <c r="G813" s="61"/>
      <c r="H813" s="43" t="s">
        <v>1365</v>
      </c>
      <c r="I813" s="46">
        <v>295.3</v>
      </c>
      <c r="J813" s="46">
        <v>0</v>
      </c>
      <c r="K813" s="46">
        <f>I813*AO813</f>
        <v>0</v>
      </c>
      <c r="L813" s="46">
        <f>I813*AP813</f>
        <v>0</v>
      </c>
      <c r="M813" s="46">
        <f>I813*J813</f>
        <v>0</v>
      </c>
      <c r="N813" s="46">
        <v>0</v>
      </c>
      <c r="O813" s="6" t="s">
        <v>1149</v>
      </c>
      <c r="Z813" s="46">
        <f>IF(AQ813="5",BJ813,0)</f>
        <v>0</v>
      </c>
      <c r="AB813" s="46">
        <f>IF(AQ813="1",BH813,0)</f>
        <v>0</v>
      </c>
      <c r="AC813" s="46">
        <f>IF(AQ813="1",BI813,0)</f>
        <v>0</v>
      </c>
      <c r="AD813" s="46">
        <f>IF(AQ813="7",BH813,0)</f>
        <v>0</v>
      </c>
      <c r="AE813" s="46">
        <f>IF(AQ813="7",BI813,0)</f>
        <v>0</v>
      </c>
      <c r="AF813" s="46">
        <f>IF(AQ813="2",BH813,0)</f>
        <v>0</v>
      </c>
      <c r="AG813" s="46">
        <f>IF(AQ813="2",BI813,0)</f>
        <v>0</v>
      </c>
      <c r="AH813" s="46">
        <f>IF(AQ813="0",BJ813,0)</f>
        <v>0</v>
      </c>
      <c r="AI813" s="1" t="s">
        <v>443</v>
      </c>
      <c r="AJ813" s="46">
        <f>IF(AN813=0,M813,0)</f>
        <v>0</v>
      </c>
      <c r="AK813" s="46">
        <f>IF(AN813=15,M813,0)</f>
        <v>0</v>
      </c>
      <c r="AL813" s="46">
        <f>IF(AN813=21,M813,0)</f>
        <v>0</v>
      </c>
      <c r="AN813" s="46">
        <v>21</v>
      </c>
      <c r="AO813" s="46">
        <f>J813*0.0239934833772411</f>
        <v>0</v>
      </c>
      <c r="AP813" s="46">
        <f>J813*(1-0.0239934833772411)</f>
        <v>0</v>
      </c>
      <c r="AQ813" s="42" t="s">
        <v>1648</v>
      </c>
      <c r="AV813" s="46">
        <f>AW813+AX813</f>
        <v>0</v>
      </c>
      <c r="AW813" s="46">
        <f>I813*AO813</f>
        <v>0</v>
      </c>
      <c r="AX813" s="46">
        <f>I813*AP813</f>
        <v>0</v>
      </c>
      <c r="AY813" s="42" t="s">
        <v>132</v>
      </c>
      <c r="AZ813" s="42" t="s">
        <v>914</v>
      </c>
      <c r="BA813" s="1" t="s">
        <v>402</v>
      </c>
      <c r="BC813" s="46">
        <f>AW813+AX813</f>
        <v>0</v>
      </c>
      <c r="BD813" s="46">
        <f>J813/(100-BE813)*100</f>
        <v>0</v>
      </c>
      <c r="BE813" s="46">
        <v>0</v>
      </c>
      <c r="BF813" s="46">
        <f>813</f>
        <v>813</v>
      </c>
      <c r="BH813" s="46">
        <f>I813*AO813</f>
        <v>0</v>
      </c>
      <c r="BI813" s="46">
        <f>I813*AP813</f>
        <v>0</v>
      </c>
      <c r="BJ813" s="46">
        <f>I813*J813</f>
        <v>0</v>
      </c>
      <c r="BK813" s="46"/>
      <c r="BL813" s="46">
        <v>89</v>
      </c>
    </row>
    <row r="814" spans="1:15" ht="15" customHeight="1">
      <c r="A814" s="10"/>
      <c r="D814" s="32" t="s">
        <v>1874</v>
      </c>
      <c r="G814" s="32" t="s">
        <v>651</v>
      </c>
      <c r="I814" s="58">
        <v>295.3</v>
      </c>
      <c r="O814" s="30"/>
    </row>
    <row r="815" spans="1:64" ht="15" customHeight="1">
      <c r="A815" s="52" t="s">
        <v>751</v>
      </c>
      <c r="B815" s="43" t="s">
        <v>443</v>
      </c>
      <c r="C815" s="43" t="s">
        <v>1195</v>
      </c>
      <c r="D815" s="61" t="s">
        <v>796</v>
      </c>
      <c r="E815" s="61"/>
      <c r="F815" s="61"/>
      <c r="G815" s="61"/>
      <c r="H815" s="43" t="s">
        <v>1365</v>
      </c>
      <c r="I815" s="46">
        <v>295.3</v>
      </c>
      <c r="J815" s="46">
        <v>0</v>
      </c>
      <c r="K815" s="46">
        <f>I815*AO815</f>
        <v>0</v>
      </c>
      <c r="L815" s="46">
        <f>I815*AP815</f>
        <v>0</v>
      </c>
      <c r="M815" s="46">
        <f>I815*J815</f>
        <v>0</v>
      </c>
      <c r="N815" s="46">
        <v>0</v>
      </c>
      <c r="O815" s="6" t="s">
        <v>1149</v>
      </c>
      <c r="Z815" s="46">
        <f>IF(AQ815="5",BJ815,0)</f>
        <v>0</v>
      </c>
      <c r="AB815" s="46">
        <f>IF(AQ815="1",BH815,0)</f>
        <v>0</v>
      </c>
      <c r="AC815" s="46">
        <f>IF(AQ815="1",BI815,0)</f>
        <v>0</v>
      </c>
      <c r="AD815" s="46">
        <f>IF(AQ815="7",BH815,0)</f>
        <v>0</v>
      </c>
      <c r="AE815" s="46">
        <f>IF(AQ815="7",BI815,0)</f>
        <v>0</v>
      </c>
      <c r="AF815" s="46">
        <f>IF(AQ815="2",BH815,0)</f>
        <v>0</v>
      </c>
      <c r="AG815" s="46">
        <f>IF(AQ815="2",BI815,0)</f>
        <v>0</v>
      </c>
      <c r="AH815" s="46">
        <f>IF(AQ815="0",BJ815,0)</f>
        <v>0</v>
      </c>
      <c r="AI815" s="1" t="s">
        <v>443</v>
      </c>
      <c r="AJ815" s="46">
        <f>IF(AN815=0,M815,0)</f>
        <v>0</v>
      </c>
      <c r="AK815" s="46">
        <f>IF(AN815=15,M815,0)</f>
        <v>0</v>
      </c>
      <c r="AL815" s="46">
        <f>IF(AN815=21,M815,0)</f>
        <v>0</v>
      </c>
      <c r="AN815" s="46">
        <v>21</v>
      </c>
      <c r="AO815" s="46">
        <f>J815*0.00565651633812185</f>
        <v>0</v>
      </c>
      <c r="AP815" s="46">
        <f>J815*(1-0.00565651633812185)</f>
        <v>0</v>
      </c>
      <c r="AQ815" s="42" t="s">
        <v>1648</v>
      </c>
      <c r="AV815" s="46">
        <f>AW815+AX815</f>
        <v>0</v>
      </c>
      <c r="AW815" s="46">
        <f>I815*AO815</f>
        <v>0</v>
      </c>
      <c r="AX815" s="46">
        <f>I815*AP815</f>
        <v>0</v>
      </c>
      <c r="AY815" s="42" t="s">
        <v>132</v>
      </c>
      <c r="AZ815" s="42" t="s">
        <v>914</v>
      </c>
      <c r="BA815" s="1" t="s">
        <v>402</v>
      </c>
      <c r="BC815" s="46">
        <f>AW815+AX815</f>
        <v>0</v>
      </c>
      <c r="BD815" s="46">
        <f>J815/(100-BE815)*100</f>
        <v>0</v>
      </c>
      <c r="BE815" s="46">
        <v>0</v>
      </c>
      <c r="BF815" s="46">
        <f>815</f>
        <v>815</v>
      </c>
      <c r="BH815" s="46">
        <f>I815*AO815</f>
        <v>0</v>
      </c>
      <c r="BI815" s="46">
        <f>I815*AP815</f>
        <v>0</v>
      </c>
      <c r="BJ815" s="46">
        <f>I815*J815</f>
        <v>0</v>
      </c>
      <c r="BK815" s="46"/>
      <c r="BL815" s="46">
        <v>89</v>
      </c>
    </row>
    <row r="816" spans="1:64" ht="15" customHeight="1">
      <c r="A816" s="52" t="s">
        <v>596</v>
      </c>
      <c r="B816" s="43" t="s">
        <v>443</v>
      </c>
      <c r="C816" s="43" t="s">
        <v>1440</v>
      </c>
      <c r="D816" s="61" t="s">
        <v>1140</v>
      </c>
      <c r="E816" s="61"/>
      <c r="F816" s="61"/>
      <c r="G816" s="61"/>
      <c r="H816" s="43" t="s">
        <v>749</v>
      </c>
      <c r="I816" s="46">
        <v>247.5367</v>
      </c>
      <c r="J816" s="46">
        <v>0</v>
      </c>
      <c r="K816" s="46">
        <f>I816*AO816</f>
        <v>0</v>
      </c>
      <c r="L816" s="46">
        <f>I816*AP816</f>
        <v>0</v>
      </c>
      <c r="M816" s="46">
        <f>I816*J816</f>
        <v>0</v>
      </c>
      <c r="N816" s="46">
        <v>0</v>
      </c>
      <c r="O816" s="6" t="s">
        <v>1149</v>
      </c>
      <c r="Z816" s="46">
        <f>IF(AQ816="5",BJ816,0)</f>
        <v>0</v>
      </c>
      <c r="AB816" s="46">
        <f>IF(AQ816="1",BH816,0)</f>
        <v>0</v>
      </c>
      <c r="AC816" s="46">
        <f>IF(AQ816="1",BI816,0)</f>
        <v>0</v>
      </c>
      <c r="AD816" s="46">
        <f>IF(AQ816="7",BH816,0)</f>
        <v>0</v>
      </c>
      <c r="AE816" s="46">
        <f>IF(AQ816="7",BI816,0)</f>
        <v>0</v>
      </c>
      <c r="AF816" s="46">
        <f>IF(AQ816="2",BH816,0)</f>
        <v>0</v>
      </c>
      <c r="AG816" s="46">
        <f>IF(AQ816="2",BI816,0)</f>
        <v>0</v>
      </c>
      <c r="AH816" s="46">
        <f>IF(AQ816="0",BJ816,0)</f>
        <v>0</v>
      </c>
      <c r="AI816" s="1" t="s">
        <v>443</v>
      </c>
      <c r="AJ816" s="46">
        <f>IF(AN816=0,M816,0)</f>
        <v>0</v>
      </c>
      <c r="AK816" s="46">
        <f>IF(AN816=15,M816,0)</f>
        <v>0</v>
      </c>
      <c r="AL816" s="46">
        <f>IF(AN816=21,M816,0)</f>
        <v>0</v>
      </c>
      <c r="AN816" s="46">
        <v>21</v>
      </c>
      <c r="AO816" s="46">
        <f>J816*0</f>
        <v>0</v>
      </c>
      <c r="AP816" s="46">
        <f>J816*(1-0)</f>
        <v>0</v>
      </c>
      <c r="AQ816" s="42" t="s">
        <v>880</v>
      </c>
      <c r="AV816" s="46">
        <f>AW816+AX816</f>
        <v>0</v>
      </c>
      <c r="AW816" s="46">
        <f>I816*AO816</f>
        <v>0</v>
      </c>
      <c r="AX816" s="46">
        <f>I816*AP816</f>
        <v>0</v>
      </c>
      <c r="AY816" s="42" t="s">
        <v>132</v>
      </c>
      <c r="AZ816" s="42" t="s">
        <v>914</v>
      </c>
      <c r="BA816" s="1" t="s">
        <v>402</v>
      </c>
      <c r="BC816" s="46">
        <f>AW816+AX816</f>
        <v>0</v>
      </c>
      <c r="BD816" s="46">
        <f>J816/(100-BE816)*100</f>
        <v>0</v>
      </c>
      <c r="BE816" s="46">
        <v>0</v>
      </c>
      <c r="BF816" s="46">
        <f>816</f>
        <v>816</v>
      </c>
      <c r="BH816" s="46">
        <f>I816*AO816</f>
        <v>0</v>
      </c>
      <c r="BI816" s="46">
        <f>I816*AP816</f>
        <v>0</v>
      </c>
      <c r="BJ816" s="46">
        <f>I816*J816</f>
        <v>0</v>
      </c>
      <c r="BK816" s="46"/>
      <c r="BL816" s="46">
        <v>89</v>
      </c>
    </row>
    <row r="817" spans="1:47" ht="15" customHeight="1">
      <c r="A817" s="3" t="s">
        <v>1163</v>
      </c>
      <c r="B817" s="9" t="s">
        <v>443</v>
      </c>
      <c r="C817" s="9" t="s">
        <v>74</v>
      </c>
      <c r="D817" s="64" t="s">
        <v>588</v>
      </c>
      <c r="E817" s="64"/>
      <c r="F817" s="64"/>
      <c r="G817" s="64"/>
      <c r="H817" s="41" t="s">
        <v>1537</v>
      </c>
      <c r="I817" s="41" t="s">
        <v>1537</v>
      </c>
      <c r="J817" s="41" t="s">
        <v>1537</v>
      </c>
      <c r="K817" s="50">
        <f>SUM(K818:K818)</f>
        <v>0</v>
      </c>
      <c r="L817" s="50">
        <f>SUM(L818:L818)</f>
        <v>0</v>
      </c>
      <c r="M817" s="50">
        <f>SUM(M818:M818)</f>
        <v>0</v>
      </c>
      <c r="N817" s="1" t="s">
        <v>1163</v>
      </c>
      <c r="O817" s="45" t="s">
        <v>1163</v>
      </c>
      <c r="AI817" s="1" t="s">
        <v>443</v>
      </c>
      <c r="AS817" s="50">
        <f>SUM(AJ818:AJ818)</f>
        <v>0</v>
      </c>
      <c r="AT817" s="50">
        <f>SUM(AK818:AK818)</f>
        <v>0</v>
      </c>
      <c r="AU817" s="50">
        <f>SUM(AL818:AL818)</f>
        <v>0</v>
      </c>
    </row>
    <row r="818" spans="1:64" ht="15" customHeight="1">
      <c r="A818" s="52" t="s">
        <v>157</v>
      </c>
      <c r="B818" s="43" t="s">
        <v>443</v>
      </c>
      <c r="C818" s="43" t="s">
        <v>27</v>
      </c>
      <c r="D818" s="61" t="s">
        <v>1691</v>
      </c>
      <c r="E818" s="61"/>
      <c r="F818" s="61"/>
      <c r="G818" s="61"/>
      <c r="H818" s="43" t="s">
        <v>1365</v>
      </c>
      <c r="I818" s="46">
        <v>141</v>
      </c>
      <c r="J818" s="46">
        <v>0</v>
      </c>
      <c r="K818" s="46">
        <f>I818*AO818</f>
        <v>0</v>
      </c>
      <c r="L818" s="46">
        <f>I818*AP818</f>
        <v>0</v>
      </c>
      <c r="M818" s="46">
        <f>I818*J818</f>
        <v>0</v>
      </c>
      <c r="N818" s="46">
        <v>0</v>
      </c>
      <c r="O818" s="6" t="s">
        <v>1149</v>
      </c>
      <c r="Z818" s="46">
        <f>IF(AQ818="5",BJ818,0)</f>
        <v>0</v>
      </c>
      <c r="AB818" s="46">
        <f>IF(AQ818="1",BH818,0)</f>
        <v>0</v>
      </c>
      <c r="AC818" s="46">
        <f>IF(AQ818="1",BI818,0)</f>
        <v>0</v>
      </c>
      <c r="AD818" s="46">
        <f>IF(AQ818="7",BH818,0)</f>
        <v>0</v>
      </c>
      <c r="AE818" s="46">
        <f>IF(AQ818="7",BI818,0)</f>
        <v>0</v>
      </c>
      <c r="AF818" s="46">
        <f>IF(AQ818="2",BH818,0)</f>
        <v>0</v>
      </c>
      <c r="AG818" s="46">
        <f>IF(AQ818="2",BI818,0)</f>
        <v>0</v>
      </c>
      <c r="AH818" s="46">
        <f>IF(AQ818="0",BJ818,0)</f>
        <v>0</v>
      </c>
      <c r="AI818" s="1" t="s">
        <v>443</v>
      </c>
      <c r="AJ818" s="46">
        <f>IF(AN818=0,M818,0)</f>
        <v>0</v>
      </c>
      <c r="AK818" s="46">
        <f>IF(AN818=15,M818,0)</f>
        <v>0</v>
      </c>
      <c r="AL818" s="46">
        <f>IF(AN818=21,M818,0)</f>
        <v>0</v>
      </c>
      <c r="AN818" s="46">
        <v>21</v>
      </c>
      <c r="AO818" s="46">
        <f>J818*0.563818166540627</f>
        <v>0</v>
      </c>
      <c r="AP818" s="46">
        <f>J818*(1-0.563818166540627)</f>
        <v>0</v>
      </c>
      <c r="AQ818" s="42" t="s">
        <v>1648</v>
      </c>
      <c r="AV818" s="46">
        <f>AW818+AX818</f>
        <v>0</v>
      </c>
      <c r="AW818" s="46">
        <f>I818*AO818</f>
        <v>0</v>
      </c>
      <c r="AX818" s="46">
        <f>I818*AP818</f>
        <v>0</v>
      </c>
      <c r="AY818" s="42" t="s">
        <v>1616</v>
      </c>
      <c r="AZ818" s="42" t="s">
        <v>559</v>
      </c>
      <c r="BA818" s="1" t="s">
        <v>402</v>
      </c>
      <c r="BC818" s="46">
        <f>AW818+AX818</f>
        <v>0</v>
      </c>
      <c r="BD818" s="46">
        <f>J818/(100-BE818)*100</f>
        <v>0</v>
      </c>
      <c r="BE818" s="46">
        <v>0</v>
      </c>
      <c r="BF818" s="46">
        <f>818</f>
        <v>818</v>
      </c>
      <c r="BH818" s="46">
        <f>I818*AO818</f>
        <v>0</v>
      </c>
      <c r="BI818" s="46">
        <f>I818*AP818</f>
        <v>0</v>
      </c>
      <c r="BJ818" s="46">
        <f>I818*J818</f>
        <v>0</v>
      </c>
      <c r="BK818" s="46"/>
      <c r="BL818" s="46">
        <v>91</v>
      </c>
    </row>
    <row r="819" spans="1:15" ht="15" customHeight="1">
      <c r="A819" s="10"/>
      <c r="D819" s="32" t="s">
        <v>1035</v>
      </c>
      <c r="G819" s="32" t="s">
        <v>117</v>
      </c>
      <c r="I819" s="58">
        <v>141</v>
      </c>
      <c r="O819" s="30"/>
    </row>
    <row r="820" spans="1:15" ht="15" customHeight="1">
      <c r="A820" s="3" t="s">
        <v>1163</v>
      </c>
      <c r="B820" s="9" t="s">
        <v>853</v>
      </c>
      <c r="C820" s="9" t="s">
        <v>1163</v>
      </c>
      <c r="D820" s="64" t="s">
        <v>1728</v>
      </c>
      <c r="E820" s="64"/>
      <c r="F820" s="64"/>
      <c r="G820" s="64"/>
      <c r="H820" s="41" t="s">
        <v>1537</v>
      </c>
      <c r="I820" s="41" t="s">
        <v>1537</v>
      </c>
      <c r="J820" s="41" t="s">
        <v>1537</v>
      </c>
      <c r="K820" s="50">
        <f>K821+K824+K827+K886+K891+K894+K898+K901+K906+K910</f>
        <v>0</v>
      </c>
      <c r="L820" s="50">
        <f>L821+L824+L827+L886+L891+L894+L898+L901+L906+L910</f>
        <v>0</v>
      </c>
      <c r="M820" s="50">
        <f>M821+M824+M827+M886+M891+M894+M898+M901+M906+M910</f>
        <v>0</v>
      </c>
      <c r="N820" s="1" t="s">
        <v>1163</v>
      </c>
      <c r="O820" s="45" t="s">
        <v>1163</v>
      </c>
    </row>
    <row r="821" spans="1:47" ht="15" customHeight="1">
      <c r="A821" s="3" t="s">
        <v>1163</v>
      </c>
      <c r="B821" s="9" t="s">
        <v>853</v>
      </c>
      <c r="C821" s="9" t="s">
        <v>1385</v>
      </c>
      <c r="D821" s="64" t="s">
        <v>909</v>
      </c>
      <c r="E821" s="64"/>
      <c r="F821" s="64"/>
      <c r="G821" s="64"/>
      <c r="H821" s="41" t="s">
        <v>1537</v>
      </c>
      <c r="I821" s="41" t="s">
        <v>1537</v>
      </c>
      <c r="J821" s="41" t="s">
        <v>1537</v>
      </c>
      <c r="K821" s="50">
        <f>SUM(K822:K822)</f>
        <v>0</v>
      </c>
      <c r="L821" s="50">
        <f>SUM(L822:L822)</f>
        <v>0</v>
      </c>
      <c r="M821" s="50">
        <f>SUM(M822:M822)</f>
        <v>0</v>
      </c>
      <c r="N821" s="1" t="s">
        <v>1163</v>
      </c>
      <c r="O821" s="45" t="s">
        <v>1163</v>
      </c>
      <c r="AI821" s="1" t="s">
        <v>853</v>
      </c>
      <c r="AS821" s="50">
        <f>SUM(AJ822:AJ822)</f>
        <v>0</v>
      </c>
      <c r="AT821" s="50">
        <f>SUM(AK822:AK822)</f>
        <v>0</v>
      </c>
      <c r="AU821" s="50">
        <f>SUM(AL822:AL822)</f>
        <v>0</v>
      </c>
    </row>
    <row r="822" spans="1:64" ht="15" customHeight="1">
      <c r="A822" s="52" t="s">
        <v>478</v>
      </c>
      <c r="B822" s="43" t="s">
        <v>853</v>
      </c>
      <c r="C822" s="43" t="s">
        <v>1699</v>
      </c>
      <c r="D822" s="61" t="s">
        <v>1397</v>
      </c>
      <c r="E822" s="61"/>
      <c r="F822" s="61"/>
      <c r="G822" s="61"/>
      <c r="H822" s="43" t="s">
        <v>1629</v>
      </c>
      <c r="I822" s="46">
        <v>50</v>
      </c>
      <c r="J822" s="46">
        <v>0</v>
      </c>
      <c r="K822" s="46">
        <f>I822*AO822</f>
        <v>0</v>
      </c>
      <c r="L822" s="46">
        <f>I822*AP822</f>
        <v>0</v>
      </c>
      <c r="M822" s="46">
        <f>I822*J822</f>
        <v>0</v>
      </c>
      <c r="N822" s="46">
        <v>0</v>
      </c>
      <c r="O822" s="6" t="s">
        <v>1149</v>
      </c>
      <c r="Z822" s="46">
        <f>IF(AQ822="5",BJ822,0)</f>
        <v>0</v>
      </c>
      <c r="AB822" s="46">
        <f>IF(AQ822="1",BH822,0)</f>
        <v>0</v>
      </c>
      <c r="AC822" s="46">
        <f>IF(AQ822="1",BI822,0)</f>
        <v>0</v>
      </c>
      <c r="AD822" s="46">
        <f>IF(AQ822="7",BH822,0)</f>
        <v>0</v>
      </c>
      <c r="AE822" s="46">
        <f>IF(AQ822="7",BI822,0)</f>
        <v>0</v>
      </c>
      <c r="AF822" s="46">
        <f>IF(AQ822="2",BH822,0)</f>
        <v>0</v>
      </c>
      <c r="AG822" s="46">
        <f>IF(AQ822="2",BI822,0)</f>
        <v>0</v>
      </c>
      <c r="AH822" s="46">
        <f>IF(AQ822="0",BJ822,0)</f>
        <v>0</v>
      </c>
      <c r="AI822" s="1" t="s">
        <v>853</v>
      </c>
      <c r="AJ822" s="46">
        <f>IF(AN822=0,M822,0)</f>
        <v>0</v>
      </c>
      <c r="AK822" s="46">
        <f>IF(AN822=15,M822,0)</f>
        <v>0</v>
      </c>
      <c r="AL822" s="46">
        <f>IF(AN822=21,M822,0)</f>
        <v>0</v>
      </c>
      <c r="AN822" s="46">
        <v>21</v>
      </c>
      <c r="AO822" s="46">
        <f>J822*0</f>
        <v>0</v>
      </c>
      <c r="AP822" s="46">
        <f>J822*(1-0)</f>
        <v>0</v>
      </c>
      <c r="AQ822" s="42" t="s">
        <v>1648</v>
      </c>
      <c r="AV822" s="46">
        <f>AW822+AX822</f>
        <v>0</v>
      </c>
      <c r="AW822" s="46">
        <f>I822*AO822</f>
        <v>0</v>
      </c>
      <c r="AX822" s="46">
        <f>I822*AP822</f>
        <v>0</v>
      </c>
      <c r="AY822" s="42" t="s">
        <v>179</v>
      </c>
      <c r="AZ822" s="42" t="s">
        <v>1865</v>
      </c>
      <c r="BA822" s="1" t="s">
        <v>589</v>
      </c>
      <c r="BC822" s="46">
        <f>AW822+AX822</f>
        <v>0</v>
      </c>
      <c r="BD822" s="46">
        <f>J822/(100-BE822)*100</f>
        <v>0</v>
      </c>
      <c r="BE822" s="46">
        <v>0</v>
      </c>
      <c r="BF822" s="46">
        <f>822</f>
        <v>822</v>
      </c>
      <c r="BH822" s="46">
        <f>I822*AO822</f>
        <v>0</v>
      </c>
      <c r="BI822" s="46">
        <f>I822*AP822</f>
        <v>0</v>
      </c>
      <c r="BJ822" s="46">
        <f>I822*J822</f>
        <v>0</v>
      </c>
      <c r="BK822" s="46"/>
      <c r="BL822" s="46">
        <v>11</v>
      </c>
    </row>
    <row r="823" spans="1:15" ht="15" customHeight="1">
      <c r="A823" s="10"/>
      <c r="D823" s="32" t="s">
        <v>1356</v>
      </c>
      <c r="G823" s="32" t="s">
        <v>1163</v>
      </c>
      <c r="I823" s="58">
        <v>50.00000000000001</v>
      </c>
      <c r="O823" s="30"/>
    </row>
    <row r="824" spans="1:47" ht="15" customHeight="1">
      <c r="A824" s="3" t="s">
        <v>1163</v>
      </c>
      <c r="B824" s="9" t="s">
        <v>853</v>
      </c>
      <c r="C824" s="9" t="s">
        <v>472</v>
      </c>
      <c r="D824" s="64" t="s">
        <v>16</v>
      </c>
      <c r="E824" s="64"/>
      <c r="F824" s="64"/>
      <c r="G824" s="64"/>
      <c r="H824" s="41" t="s">
        <v>1537</v>
      </c>
      <c r="I824" s="41" t="s">
        <v>1537</v>
      </c>
      <c r="J824" s="41" t="s">
        <v>1537</v>
      </c>
      <c r="K824" s="50">
        <f>SUM(K825:K825)</f>
        <v>0</v>
      </c>
      <c r="L824" s="50">
        <f>SUM(L825:L825)</f>
        <v>0</v>
      </c>
      <c r="M824" s="50">
        <f>SUM(M825:M825)</f>
        <v>0</v>
      </c>
      <c r="N824" s="1" t="s">
        <v>1163</v>
      </c>
      <c r="O824" s="45" t="s">
        <v>1163</v>
      </c>
      <c r="AI824" s="1" t="s">
        <v>853</v>
      </c>
      <c r="AS824" s="50">
        <f>SUM(AJ825:AJ825)</f>
        <v>0</v>
      </c>
      <c r="AT824" s="50">
        <f>SUM(AK825:AK825)</f>
        <v>0</v>
      </c>
      <c r="AU824" s="50">
        <f>SUM(AL825:AL825)</f>
        <v>0</v>
      </c>
    </row>
    <row r="825" spans="1:64" ht="15" customHeight="1">
      <c r="A825" s="52" t="s">
        <v>724</v>
      </c>
      <c r="B825" s="43" t="s">
        <v>853</v>
      </c>
      <c r="C825" s="43" t="s">
        <v>377</v>
      </c>
      <c r="D825" s="61" t="s">
        <v>167</v>
      </c>
      <c r="E825" s="61"/>
      <c r="F825" s="61"/>
      <c r="G825" s="61"/>
      <c r="H825" s="43" t="s">
        <v>1604</v>
      </c>
      <c r="I825" s="46">
        <v>8.2</v>
      </c>
      <c r="J825" s="46">
        <v>0</v>
      </c>
      <c r="K825" s="46">
        <f>I825*AO825</f>
        <v>0</v>
      </c>
      <c r="L825" s="46">
        <f>I825*AP825</f>
        <v>0</v>
      </c>
      <c r="M825" s="46">
        <f>I825*J825</f>
        <v>0</v>
      </c>
      <c r="N825" s="46">
        <v>0</v>
      </c>
      <c r="O825" s="6" t="s">
        <v>1149</v>
      </c>
      <c r="Z825" s="46">
        <f>IF(AQ825="5",BJ825,0)</f>
        <v>0</v>
      </c>
      <c r="AB825" s="46">
        <f>IF(AQ825="1",BH825,0)</f>
        <v>0</v>
      </c>
      <c r="AC825" s="46">
        <f>IF(AQ825="1",BI825,0)</f>
        <v>0</v>
      </c>
      <c r="AD825" s="46">
        <f>IF(AQ825="7",BH825,0)</f>
        <v>0</v>
      </c>
      <c r="AE825" s="46">
        <f>IF(AQ825="7",BI825,0)</f>
        <v>0</v>
      </c>
      <c r="AF825" s="46">
        <f>IF(AQ825="2",BH825,0)</f>
        <v>0</v>
      </c>
      <c r="AG825" s="46">
        <f>IF(AQ825="2",BI825,0)</f>
        <v>0</v>
      </c>
      <c r="AH825" s="46">
        <f>IF(AQ825="0",BJ825,0)</f>
        <v>0</v>
      </c>
      <c r="AI825" s="1" t="s">
        <v>853</v>
      </c>
      <c r="AJ825" s="46">
        <f>IF(AN825=0,M825,0)</f>
        <v>0</v>
      </c>
      <c r="AK825" s="46">
        <f>IF(AN825=15,M825,0)</f>
        <v>0</v>
      </c>
      <c r="AL825" s="46">
        <f>IF(AN825=21,M825,0)</f>
        <v>0</v>
      </c>
      <c r="AN825" s="46">
        <v>21</v>
      </c>
      <c r="AO825" s="46">
        <f>J825*0</f>
        <v>0</v>
      </c>
      <c r="AP825" s="46">
        <f>J825*(1-0)</f>
        <v>0</v>
      </c>
      <c r="AQ825" s="42" t="s">
        <v>1648</v>
      </c>
      <c r="AV825" s="46">
        <f>AW825+AX825</f>
        <v>0</v>
      </c>
      <c r="AW825" s="46">
        <f>I825*AO825</f>
        <v>0</v>
      </c>
      <c r="AX825" s="46">
        <f>I825*AP825</f>
        <v>0</v>
      </c>
      <c r="AY825" s="42" t="s">
        <v>1498</v>
      </c>
      <c r="AZ825" s="42" t="s">
        <v>1865</v>
      </c>
      <c r="BA825" s="1" t="s">
        <v>589</v>
      </c>
      <c r="BC825" s="46">
        <f>AW825+AX825</f>
        <v>0</v>
      </c>
      <c r="BD825" s="46">
        <f>J825/(100-BE825)*100</f>
        <v>0</v>
      </c>
      <c r="BE825" s="46">
        <v>0</v>
      </c>
      <c r="BF825" s="46">
        <f>825</f>
        <v>825</v>
      </c>
      <c r="BH825" s="46">
        <f>I825*AO825</f>
        <v>0</v>
      </c>
      <c r="BI825" s="46">
        <f>I825*AP825</f>
        <v>0</v>
      </c>
      <c r="BJ825" s="46">
        <f>I825*J825</f>
        <v>0</v>
      </c>
      <c r="BK825" s="46"/>
      <c r="BL825" s="46">
        <v>13</v>
      </c>
    </row>
    <row r="826" spans="1:15" ht="15" customHeight="1">
      <c r="A826" s="10"/>
      <c r="D826" s="32" t="s">
        <v>972</v>
      </c>
      <c r="G826" s="32" t="s">
        <v>1163</v>
      </c>
      <c r="I826" s="58">
        <v>8.200000000000001</v>
      </c>
      <c r="O826" s="30"/>
    </row>
    <row r="827" spans="1:47" ht="15" customHeight="1">
      <c r="A827" s="3" t="s">
        <v>1163</v>
      </c>
      <c r="B827" s="9" t="s">
        <v>853</v>
      </c>
      <c r="C827" s="9" t="s">
        <v>1333</v>
      </c>
      <c r="D827" s="64" t="s">
        <v>1677</v>
      </c>
      <c r="E827" s="64"/>
      <c r="F827" s="64"/>
      <c r="G827" s="64"/>
      <c r="H827" s="41" t="s">
        <v>1537</v>
      </c>
      <c r="I827" s="41" t="s">
        <v>1537</v>
      </c>
      <c r="J827" s="41" t="s">
        <v>1537</v>
      </c>
      <c r="K827" s="50">
        <f>SUM(K828:K883)</f>
        <v>0</v>
      </c>
      <c r="L827" s="50">
        <f>SUM(L828:L883)</f>
        <v>0</v>
      </c>
      <c r="M827" s="50">
        <f>SUM(M828:M883)</f>
        <v>0</v>
      </c>
      <c r="N827" s="1" t="s">
        <v>1163</v>
      </c>
      <c r="O827" s="45" t="s">
        <v>1163</v>
      </c>
      <c r="AI827" s="1" t="s">
        <v>853</v>
      </c>
      <c r="AS827" s="50">
        <f>SUM(AJ828:AJ883)</f>
        <v>0</v>
      </c>
      <c r="AT827" s="50">
        <f>SUM(AK828:AK883)</f>
        <v>0</v>
      </c>
      <c r="AU827" s="50">
        <f>SUM(AL828:AL883)</f>
        <v>0</v>
      </c>
    </row>
    <row r="828" spans="1:64" ht="15" customHeight="1">
      <c r="A828" s="52" t="s">
        <v>3</v>
      </c>
      <c r="B828" s="43" t="s">
        <v>853</v>
      </c>
      <c r="C828" s="43" t="s">
        <v>383</v>
      </c>
      <c r="D828" s="61" t="s">
        <v>1785</v>
      </c>
      <c r="E828" s="61"/>
      <c r="F828" s="61"/>
      <c r="G828" s="61"/>
      <c r="H828" s="43" t="s">
        <v>1629</v>
      </c>
      <c r="I828" s="46">
        <v>205</v>
      </c>
      <c r="J828" s="46">
        <v>0</v>
      </c>
      <c r="K828" s="46">
        <f>I828*AO828</f>
        <v>0</v>
      </c>
      <c r="L828" s="46">
        <f>I828*AP828</f>
        <v>0</v>
      </c>
      <c r="M828" s="46">
        <f>I828*J828</f>
        <v>0</v>
      </c>
      <c r="N828" s="46">
        <v>0</v>
      </c>
      <c r="O828" s="6" t="s">
        <v>1149</v>
      </c>
      <c r="Z828" s="46">
        <f>IF(AQ828="5",BJ828,0)</f>
        <v>0</v>
      </c>
      <c r="AB828" s="46">
        <f>IF(AQ828="1",BH828,0)</f>
        <v>0</v>
      </c>
      <c r="AC828" s="46">
        <f>IF(AQ828="1",BI828,0)</f>
        <v>0</v>
      </c>
      <c r="AD828" s="46">
        <f>IF(AQ828="7",BH828,0)</f>
        <v>0</v>
      </c>
      <c r="AE828" s="46">
        <f>IF(AQ828="7",BI828,0)</f>
        <v>0</v>
      </c>
      <c r="AF828" s="46">
        <f>IF(AQ828="2",BH828,0)</f>
        <v>0</v>
      </c>
      <c r="AG828" s="46">
        <f>IF(AQ828="2",BI828,0)</f>
        <v>0</v>
      </c>
      <c r="AH828" s="46">
        <f>IF(AQ828="0",BJ828,0)</f>
        <v>0</v>
      </c>
      <c r="AI828" s="1" t="s">
        <v>853</v>
      </c>
      <c r="AJ828" s="46">
        <f>IF(AN828=0,M828,0)</f>
        <v>0</v>
      </c>
      <c r="AK828" s="46">
        <f>IF(AN828=15,M828,0)</f>
        <v>0</v>
      </c>
      <c r="AL828" s="46">
        <f>IF(AN828=21,M828,0)</f>
        <v>0</v>
      </c>
      <c r="AN828" s="46">
        <v>21</v>
      </c>
      <c r="AO828" s="46">
        <f>J828*0</f>
        <v>0</v>
      </c>
      <c r="AP828" s="46">
        <f>J828*(1-0)</f>
        <v>0</v>
      </c>
      <c r="AQ828" s="42" t="s">
        <v>1648</v>
      </c>
      <c r="AV828" s="46">
        <f>AW828+AX828</f>
        <v>0</v>
      </c>
      <c r="AW828" s="46">
        <f>I828*AO828</f>
        <v>0</v>
      </c>
      <c r="AX828" s="46">
        <f>I828*AP828</f>
        <v>0</v>
      </c>
      <c r="AY828" s="42" t="s">
        <v>814</v>
      </c>
      <c r="AZ828" s="42" t="s">
        <v>1865</v>
      </c>
      <c r="BA828" s="1" t="s">
        <v>589</v>
      </c>
      <c r="BC828" s="46">
        <f>AW828+AX828</f>
        <v>0</v>
      </c>
      <c r="BD828" s="46">
        <f>J828/(100-BE828)*100</f>
        <v>0</v>
      </c>
      <c r="BE828" s="46">
        <v>0</v>
      </c>
      <c r="BF828" s="46">
        <f>828</f>
        <v>828</v>
      </c>
      <c r="BH828" s="46">
        <f>I828*AO828</f>
        <v>0</v>
      </c>
      <c r="BI828" s="46">
        <f>I828*AP828</f>
        <v>0</v>
      </c>
      <c r="BJ828" s="46">
        <f>I828*J828</f>
        <v>0</v>
      </c>
      <c r="BK828" s="46"/>
      <c r="BL828" s="46">
        <v>18</v>
      </c>
    </row>
    <row r="829" spans="1:15" ht="15" customHeight="1">
      <c r="A829" s="10"/>
      <c r="D829" s="32" t="s">
        <v>1536</v>
      </c>
      <c r="G829" s="32" t="s">
        <v>1163</v>
      </c>
      <c r="I829" s="58">
        <v>205.00000000000003</v>
      </c>
      <c r="O829" s="30"/>
    </row>
    <row r="830" spans="1:64" ht="15" customHeight="1">
      <c r="A830" s="52" t="s">
        <v>70</v>
      </c>
      <c r="B830" s="43" t="s">
        <v>853</v>
      </c>
      <c r="C830" s="43" t="s">
        <v>128</v>
      </c>
      <c r="D830" s="61" t="s">
        <v>221</v>
      </c>
      <c r="E830" s="61"/>
      <c r="F830" s="61"/>
      <c r="G830" s="61"/>
      <c r="H830" s="43" t="s">
        <v>1604</v>
      </c>
      <c r="I830" s="46">
        <v>26.91</v>
      </c>
      <c r="J830" s="46">
        <v>0</v>
      </c>
      <c r="K830" s="46">
        <f>I830*AO830</f>
        <v>0</v>
      </c>
      <c r="L830" s="46">
        <f>I830*AP830</f>
        <v>0</v>
      </c>
      <c r="M830" s="46">
        <f>I830*J830</f>
        <v>0</v>
      </c>
      <c r="N830" s="46">
        <v>0.6</v>
      </c>
      <c r="O830" s="6" t="s">
        <v>1149</v>
      </c>
      <c r="Z830" s="46">
        <f>IF(AQ830="5",BJ830,0)</f>
        <v>0</v>
      </c>
      <c r="AB830" s="46">
        <f>IF(AQ830="1",BH830,0)</f>
        <v>0</v>
      </c>
      <c r="AC830" s="46">
        <f>IF(AQ830="1",BI830,0)</f>
        <v>0</v>
      </c>
      <c r="AD830" s="46">
        <f>IF(AQ830="7",BH830,0)</f>
        <v>0</v>
      </c>
      <c r="AE830" s="46">
        <f>IF(AQ830="7",BI830,0)</f>
        <v>0</v>
      </c>
      <c r="AF830" s="46">
        <f>IF(AQ830="2",BH830,0)</f>
        <v>0</v>
      </c>
      <c r="AG830" s="46">
        <f>IF(AQ830="2",BI830,0)</f>
        <v>0</v>
      </c>
      <c r="AH830" s="46">
        <f>IF(AQ830="0",BJ830,0)</f>
        <v>0</v>
      </c>
      <c r="AI830" s="1" t="s">
        <v>853</v>
      </c>
      <c r="AJ830" s="46">
        <f>IF(AN830=0,M830,0)</f>
        <v>0</v>
      </c>
      <c r="AK830" s="46">
        <f>IF(AN830=15,M830,0)</f>
        <v>0</v>
      </c>
      <c r="AL830" s="46">
        <f>IF(AN830=21,M830,0)</f>
        <v>0</v>
      </c>
      <c r="AN830" s="46">
        <v>21</v>
      </c>
      <c r="AO830" s="46">
        <f>J830*1</f>
        <v>0</v>
      </c>
      <c r="AP830" s="46">
        <f>J830*(1-1)</f>
        <v>0</v>
      </c>
      <c r="AQ830" s="42" t="s">
        <v>1648</v>
      </c>
      <c r="AV830" s="46">
        <f>AW830+AX830</f>
        <v>0</v>
      </c>
      <c r="AW830" s="46">
        <f>I830*AO830</f>
        <v>0</v>
      </c>
      <c r="AX830" s="46">
        <f>I830*AP830</f>
        <v>0</v>
      </c>
      <c r="AY830" s="42" t="s">
        <v>814</v>
      </c>
      <c r="AZ830" s="42" t="s">
        <v>1865</v>
      </c>
      <c r="BA830" s="1" t="s">
        <v>589</v>
      </c>
      <c r="BC830" s="46">
        <f>AW830+AX830</f>
        <v>0</v>
      </c>
      <c r="BD830" s="46">
        <f>J830/(100-BE830)*100</f>
        <v>0</v>
      </c>
      <c r="BE830" s="46">
        <v>0</v>
      </c>
      <c r="BF830" s="46">
        <f>830</f>
        <v>830</v>
      </c>
      <c r="BH830" s="46">
        <f>I830*AO830</f>
        <v>0</v>
      </c>
      <c r="BI830" s="46">
        <f>I830*AP830</f>
        <v>0</v>
      </c>
      <c r="BJ830" s="46">
        <f>I830*J830</f>
        <v>0</v>
      </c>
      <c r="BK830" s="46"/>
      <c r="BL830" s="46">
        <v>18</v>
      </c>
    </row>
    <row r="831" spans="1:15" ht="15" customHeight="1">
      <c r="A831" s="10"/>
      <c r="D831" s="32" t="s">
        <v>912</v>
      </c>
      <c r="G831" s="32" t="s">
        <v>223</v>
      </c>
      <c r="I831" s="58">
        <v>26.910000000000004</v>
      </c>
      <c r="O831" s="30"/>
    </row>
    <row r="832" spans="1:64" ht="15" customHeight="1">
      <c r="A832" s="52" t="s">
        <v>1198</v>
      </c>
      <c r="B832" s="43" t="s">
        <v>853</v>
      </c>
      <c r="C832" s="43" t="s">
        <v>614</v>
      </c>
      <c r="D832" s="61" t="s">
        <v>857</v>
      </c>
      <c r="E832" s="61"/>
      <c r="F832" s="61"/>
      <c r="G832" s="61"/>
      <c r="H832" s="43" t="s">
        <v>1629</v>
      </c>
      <c r="I832" s="46">
        <v>205</v>
      </c>
      <c r="J832" s="46">
        <v>0</v>
      </c>
      <c r="K832" s="46">
        <f>I832*AO832</f>
        <v>0</v>
      </c>
      <c r="L832" s="46">
        <f>I832*AP832</f>
        <v>0</v>
      </c>
      <c r="M832" s="46">
        <f>I832*J832</f>
        <v>0</v>
      </c>
      <c r="N832" s="46">
        <v>0</v>
      </c>
      <c r="O832" s="6" t="s">
        <v>1149</v>
      </c>
      <c r="Z832" s="46">
        <f>IF(AQ832="5",BJ832,0)</f>
        <v>0</v>
      </c>
      <c r="AB832" s="46">
        <f>IF(AQ832="1",BH832,0)</f>
        <v>0</v>
      </c>
      <c r="AC832" s="46">
        <f>IF(AQ832="1",BI832,0)</f>
        <v>0</v>
      </c>
      <c r="AD832" s="46">
        <f>IF(AQ832="7",BH832,0)</f>
        <v>0</v>
      </c>
      <c r="AE832" s="46">
        <f>IF(AQ832="7",BI832,0)</f>
        <v>0</v>
      </c>
      <c r="AF832" s="46">
        <f>IF(AQ832="2",BH832,0)</f>
        <v>0</v>
      </c>
      <c r="AG832" s="46">
        <f>IF(AQ832="2",BI832,0)</f>
        <v>0</v>
      </c>
      <c r="AH832" s="46">
        <f>IF(AQ832="0",BJ832,0)</f>
        <v>0</v>
      </c>
      <c r="AI832" s="1" t="s">
        <v>853</v>
      </c>
      <c r="AJ832" s="46">
        <f>IF(AN832=0,M832,0)</f>
        <v>0</v>
      </c>
      <c r="AK832" s="46">
        <f>IF(AN832=15,M832,0)</f>
        <v>0</v>
      </c>
      <c r="AL832" s="46">
        <f>IF(AN832=21,M832,0)</f>
        <v>0</v>
      </c>
      <c r="AN832" s="46">
        <v>21</v>
      </c>
      <c r="AO832" s="46">
        <f>J832*0.0401709401709402</f>
        <v>0</v>
      </c>
      <c r="AP832" s="46">
        <f>J832*(1-0.0401709401709402)</f>
        <v>0</v>
      </c>
      <c r="AQ832" s="42" t="s">
        <v>1648</v>
      </c>
      <c r="AV832" s="46">
        <f>AW832+AX832</f>
        <v>0</v>
      </c>
      <c r="AW832" s="46">
        <f>I832*AO832</f>
        <v>0</v>
      </c>
      <c r="AX832" s="46">
        <f>I832*AP832</f>
        <v>0</v>
      </c>
      <c r="AY832" s="42" t="s">
        <v>814</v>
      </c>
      <c r="AZ832" s="42" t="s">
        <v>1865</v>
      </c>
      <c r="BA832" s="1" t="s">
        <v>589</v>
      </c>
      <c r="BC832" s="46">
        <f>AW832+AX832</f>
        <v>0</v>
      </c>
      <c r="BD832" s="46">
        <f>J832/(100-BE832)*100</f>
        <v>0</v>
      </c>
      <c r="BE832" s="46">
        <v>0</v>
      </c>
      <c r="BF832" s="46">
        <f>832</f>
        <v>832</v>
      </c>
      <c r="BH832" s="46">
        <f>I832*AO832</f>
        <v>0</v>
      </c>
      <c r="BI832" s="46">
        <f>I832*AP832</f>
        <v>0</v>
      </c>
      <c r="BJ832" s="46">
        <f>I832*J832</f>
        <v>0</v>
      </c>
      <c r="BK832" s="46"/>
      <c r="BL832" s="46">
        <v>18</v>
      </c>
    </row>
    <row r="833" spans="1:15" ht="15" customHeight="1">
      <c r="A833" s="10"/>
      <c r="D833" s="32" t="s">
        <v>1536</v>
      </c>
      <c r="G833" s="32" t="s">
        <v>1163</v>
      </c>
      <c r="I833" s="58">
        <v>205.00000000000003</v>
      </c>
      <c r="O833" s="30"/>
    </row>
    <row r="834" spans="1:64" ht="15" customHeight="1">
      <c r="A834" s="52" t="s">
        <v>1053</v>
      </c>
      <c r="B834" s="43" t="s">
        <v>853</v>
      </c>
      <c r="C834" s="43" t="s">
        <v>1811</v>
      </c>
      <c r="D834" s="61" t="s">
        <v>1345</v>
      </c>
      <c r="E834" s="61"/>
      <c r="F834" s="61"/>
      <c r="G834" s="61"/>
      <c r="H834" s="43" t="s">
        <v>1574</v>
      </c>
      <c r="I834" s="46">
        <v>5</v>
      </c>
      <c r="J834" s="46">
        <v>0</v>
      </c>
      <c r="K834" s="46">
        <f>I834*AO834</f>
        <v>0</v>
      </c>
      <c r="L834" s="46">
        <f>I834*AP834</f>
        <v>0</v>
      </c>
      <c r="M834" s="46">
        <f>I834*J834</f>
        <v>0</v>
      </c>
      <c r="N834" s="46">
        <v>0.001</v>
      </c>
      <c r="O834" s="6" t="s">
        <v>1149</v>
      </c>
      <c r="Z834" s="46">
        <f>IF(AQ834="5",BJ834,0)</f>
        <v>0</v>
      </c>
      <c r="AB834" s="46">
        <f>IF(AQ834="1",BH834,0)</f>
        <v>0</v>
      </c>
      <c r="AC834" s="46">
        <f>IF(AQ834="1",BI834,0)</f>
        <v>0</v>
      </c>
      <c r="AD834" s="46">
        <f>IF(AQ834="7",BH834,0)</f>
        <v>0</v>
      </c>
      <c r="AE834" s="46">
        <f>IF(AQ834="7",BI834,0)</f>
        <v>0</v>
      </c>
      <c r="AF834" s="46">
        <f>IF(AQ834="2",BH834,0)</f>
        <v>0</v>
      </c>
      <c r="AG834" s="46">
        <f>IF(AQ834="2",BI834,0)</f>
        <v>0</v>
      </c>
      <c r="AH834" s="46">
        <f>IF(AQ834="0",BJ834,0)</f>
        <v>0</v>
      </c>
      <c r="AI834" s="1" t="s">
        <v>853</v>
      </c>
      <c r="AJ834" s="46">
        <f>IF(AN834=0,M834,0)</f>
        <v>0</v>
      </c>
      <c r="AK834" s="46">
        <f>IF(AN834=15,M834,0)</f>
        <v>0</v>
      </c>
      <c r="AL834" s="46">
        <f>IF(AN834=21,M834,0)</f>
        <v>0</v>
      </c>
      <c r="AN834" s="46">
        <v>21</v>
      </c>
      <c r="AO834" s="46">
        <f>J834*1</f>
        <v>0</v>
      </c>
      <c r="AP834" s="46">
        <f>J834*(1-1)</f>
        <v>0</v>
      </c>
      <c r="AQ834" s="42" t="s">
        <v>1648</v>
      </c>
      <c r="AV834" s="46">
        <f>AW834+AX834</f>
        <v>0</v>
      </c>
      <c r="AW834" s="46">
        <f>I834*AO834</f>
        <v>0</v>
      </c>
      <c r="AX834" s="46">
        <f>I834*AP834</f>
        <v>0</v>
      </c>
      <c r="AY834" s="42" t="s">
        <v>814</v>
      </c>
      <c r="AZ834" s="42" t="s">
        <v>1865</v>
      </c>
      <c r="BA834" s="1" t="s">
        <v>589</v>
      </c>
      <c r="BC834" s="46">
        <f>AW834+AX834</f>
        <v>0</v>
      </c>
      <c r="BD834" s="46">
        <f>J834/(100-BE834)*100</f>
        <v>0</v>
      </c>
      <c r="BE834" s="46">
        <v>0</v>
      </c>
      <c r="BF834" s="46">
        <f>834</f>
        <v>834</v>
      </c>
      <c r="BH834" s="46">
        <f>I834*AO834</f>
        <v>0</v>
      </c>
      <c r="BI834" s="46">
        <f>I834*AP834</f>
        <v>0</v>
      </c>
      <c r="BJ834" s="46">
        <f>I834*J834</f>
        <v>0</v>
      </c>
      <c r="BK834" s="46"/>
      <c r="BL834" s="46">
        <v>18</v>
      </c>
    </row>
    <row r="835" spans="1:15" ht="15" customHeight="1">
      <c r="A835" s="10"/>
      <c r="D835" s="32" t="s">
        <v>880</v>
      </c>
      <c r="G835" s="32" t="s">
        <v>1163</v>
      </c>
      <c r="I835" s="58">
        <v>5</v>
      </c>
      <c r="O835" s="30"/>
    </row>
    <row r="836" spans="1:64" ht="15" customHeight="1">
      <c r="A836" s="52" t="s">
        <v>1094</v>
      </c>
      <c r="B836" s="43" t="s">
        <v>853</v>
      </c>
      <c r="C836" s="43" t="s">
        <v>900</v>
      </c>
      <c r="D836" s="61" t="s">
        <v>379</v>
      </c>
      <c r="E836" s="61"/>
      <c r="F836" s="61"/>
      <c r="G836" s="61"/>
      <c r="H836" s="43" t="s">
        <v>392</v>
      </c>
      <c r="I836" s="46">
        <v>10</v>
      </c>
      <c r="J836" s="46">
        <v>0</v>
      </c>
      <c r="K836" s="46">
        <f>I836*AO836</f>
        <v>0</v>
      </c>
      <c r="L836" s="46">
        <f>I836*AP836</f>
        <v>0</v>
      </c>
      <c r="M836" s="46">
        <f>I836*J836</f>
        <v>0</v>
      </c>
      <c r="N836" s="46">
        <v>0</v>
      </c>
      <c r="O836" s="6" t="s">
        <v>1149</v>
      </c>
      <c r="Z836" s="46">
        <f>IF(AQ836="5",BJ836,0)</f>
        <v>0</v>
      </c>
      <c r="AB836" s="46">
        <f>IF(AQ836="1",BH836,0)</f>
        <v>0</v>
      </c>
      <c r="AC836" s="46">
        <f>IF(AQ836="1",BI836,0)</f>
        <v>0</v>
      </c>
      <c r="AD836" s="46">
        <f>IF(AQ836="7",BH836,0)</f>
        <v>0</v>
      </c>
      <c r="AE836" s="46">
        <f>IF(AQ836="7",BI836,0)</f>
        <v>0</v>
      </c>
      <c r="AF836" s="46">
        <f>IF(AQ836="2",BH836,0)</f>
        <v>0</v>
      </c>
      <c r="AG836" s="46">
        <f>IF(AQ836="2",BI836,0)</f>
        <v>0</v>
      </c>
      <c r="AH836" s="46">
        <f>IF(AQ836="0",BJ836,0)</f>
        <v>0</v>
      </c>
      <c r="AI836" s="1" t="s">
        <v>853</v>
      </c>
      <c r="AJ836" s="46">
        <f>IF(AN836=0,M836,0)</f>
        <v>0</v>
      </c>
      <c r="AK836" s="46">
        <f>IF(AN836=15,M836,0)</f>
        <v>0</v>
      </c>
      <c r="AL836" s="46">
        <f>IF(AN836=21,M836,0)</f>
        <v>0</v>
      </c>
      <c r="AN836" s="46">
        <v>21</v>
      </c>
      <c r="AO836" s="46">
        <f>J836*0</f>
        <v>0</v>
      </c>
      <c r="AP836" s="46">
        <f>J836*(1-0)</f>
        <v>0</v>
      </c>
      <c r="AQ836" s="42" t="s">
        <v>1648</v>
      </c>
      <c r="AV836" s="46">
        <f>AW836+AX836</f>
        <v>0</v>
      </c>
      <c r="AW836" s="46">
        <f>I836*AO836</f>
        <v>0</v>
      </c>
      <c r="AX836" s="46">
        <f>I836*AP836</f>
        <v>0</v>
      </c>
      <c r="AY836" s="42" t="s">
        <v>814</v>
      </c>
      <c r="AZ836" s="42" t="s">
        <v>1865</v>
      </c>
      <c r="BA836" s="1" t="s">
        <v>589</v>
      </c>
      <c r="BC836" s="46">
        <f>AW836+AX836</f>
        <v>0</v>
      </c>
      <c r="BD836" s="46">
        <f>J836/(100-BE836)*100</f>
        <v>0</v>
      </c>
      <c r="BE836" s="46">
        <v>0</v>
      </c>
      <c r="BF836" s="46">
        <f>836</f>
        <v>836</v>
      </c>
      <c r="BH836" s="46">
        <f>I836*AO836</f>
        <v>0</v>
      </c>
      <c r="BI836" s="46">
        <f>I836*AP836</f>
        <v>0</v>
      </c>
      <c r="BJ836" s="46">
        <f>I836*J836</f>
        <v>0</v>
      </c>
      <c r="BK836" s="46"/>
      <c r="BL836" s="46">
        <v>18</v>
      </c>
    </row>
    <row r="837" spans="1:15" ht="15" customHeight="1">
      <c r="A837" s="10"/>
      <c r="D837" s="32" t="s">
        <v>965</v>
      </c>
      <c r="G837" s="32" t="s">
        <v>1163</v>
      </c>
      <c r="I837" s="58">
        <v>10</v>
      </c>
      <c r="O837" s="30"/>
    </row>
    <row r="838" spans="1:64" ht="15" customHeight="1">
      <c r="A838" s="52" t="s">
        <v>1732</v>
      </c>
      <c r="B838" s="43" t="s">
        <v>853</v>
      </c>
      <c r="C838" s="43" t="s">
        <v>969</v>
      </c>
      <c r="D838" s="61" t="s">
        <v>1187</v>
      </c>
      <c r="E838" s="61"/>
      <c r="F838" s="61"/>
      <c r="G838" s="61"/>
      <c r="H838" s="43" t="s">
        <v>1629</v>
      </c>
      <c r="I838" s="46">
        <v>205</v>
      </c>
      <c r="J838" s="46">
        <v>0</v>
      </c>
      <c r="K838" s="46">
        <f>I838*AO838</f>
        <v>0</v>
      </c>
      <c r="L838" s="46">
        <f>I838*AP838</f>
        <v>0</v>
      </c>
      <c r="M838" s="46">
        <f>I838*J838</f>
        <v>0</v>
      </c>
      <c r="N838" s="46">
        <v>0</v>
      </c>
      <c r="O838" s="6" t="s">
        <v>1149</v>
      </c>
      <c r="Z838" s="46">
        <f>IF(AQ838="5",BJ838,0)</f>
        <v>0</v>
      </c>
      <c r="AB838" s="46">
        <f>IF(AQ838="1",BH838,0)</f>
        <v>0</v>
      </c>
      <c r="AC838" s="46">
        <f>IF(AQ838="1",BI838,0)</f>
        <v>0</v>
      </c>
      <c r="AD838" s="46">
        <f>IF(AQ838="7",BH838,0)</f>
        <v>0</v>
      </c>
      <c r="AE838" s="46">
        <f>IF(AQ838="7",BI838,0)</f>
        <v>0</v>
      </c>
      <c r="AF838" s="46">
        <f>IF(AQ838="2",BH838,0)</f>
        <v>0</v>
      </c>
      <c r="AG838" s="46">
        <f>IF(AQ838="2",BI838,0)</f>
        <v>0</v>
      </c>
      <c r="AH838" s="46">
        <f>IF(AQ838="0",BJ838,0)</f>
        <v>0</v>
      </c>
      <c r="AI838" s="1" t="s">
        <v>853</v>
      </c>
      <c r="AJ838" s="46">
        <f>IF(AN838=0,M838,0)</f>
        <v>0</v>
      </c>
      <c r="AK838" s="46">
        <f>IF(AN838=15,M838,0)</f>
        <v>0</v>
      </c>
      <c r="AL838" s="46">
        <f>IF(AN838=21,M838,0)</f>
        <v>0</v>
      </c>
      <c r="AN838" s="46">
        <v>21</v>
      </c>
      <c r="AO838" s="46">
        <f>J838*0</f>
        <v>0</v>
      </c>
      <c r="AP838" s="46">
        <f>J838*(1-0)</f>
        <v>0</v>
      </c>
      <c r="AQ838" s="42" t="s">
        <v>1648</v>
      </c>
      <c r="AV838" s="46">
        <f>AW838+AX838</f>
        <v>0</v>
      </c>
      <c r="AW838" s="46">
        <f>I838*AO838</f>
        <v>0</v>
      </c>
      <c r="AX838" s="46">
        <f>I838*AP838</f>
        <v>0</v>
      </c>
      <c r="AY838" s="42" t="s">
        <v>814</v>
      </c>
      <c r="AZ838" s="42" t="s">
        <v>1865</v>
      </c>
      <c r="BA838" s="1" t="s">
        <v>589</v>
      </c>
      <c r="BC838" s="46">
        <f>AW838+AX838</f>
        <v>0</v>
      </c>
      <c r="BD838" s="46">
        <f>J838/(100-BE838)*100</f>
        <v>0</v>
      </c>
      <c r="BE838" s="46">
        <v>0</v>
      </c>
      <c r="BF838" s="46">
        <f>838</f>
        <v>838</v>
      </c>
      <c r="BH838" s="46">
        <f>I838*AO838</f>
        <v>0</v>
      </c>
      <c r="BI838" s="46">
        <f>I838*AP838</f>
        <v>0</v>
      </c>
      <c r="BJ838" s="46">
        <f>I838*J838</f>
        <v>0</v>
      </c>
      <c r="BK838" s="46"/>
      <c r="BL838" s="46">
        <v>18</v>
      </c>
    </row>
    <row r="839" spans="1:15" ht="15" customHeight="1">
      <c r="A839" s="10"/>
      <c r="D839" s="32" t="s">
        <v>1536</v>
      </c>
      <c r="G839" s="32" t="s">
        <v>1163</v>
      </c>
      <c r="I839" s="58">
        <v>205.00000000000003</v>
      </c>
      <c r="O839" s="30"/>
    </row>
    <row r="840" spans="1:64" ht="15" customHeight="1">
      <c r="A840" s="52" t="s">
        <v>1532</v>
      </c>
      <c r="B840" s="43" t="s">
        <v>853</v>
      </c>
      <c r="C840" s="43" t="s">
        <v>238</v>
      </c>
      <c r="D840" s="61" t="s">
        <v>78</v>
      </c>
      <c r="E840" s="61"/>
      <c r="F840" s="61"/>
      <c r="G840" s="61"/>
      <c r="H840" s="43" t="s">
        <v>392</v>
      </c>
      <c r="I840" s="46">
        <v>10</v>
      </c>
      <c r="J840" s="46">
        <v>0</v>
      </c>
      <c r="K840" s="46">
        <f>I840*AO840</f>
        <v>0</v>
      </c>
      <c r="L840" s="46">
        <f>I840*AP840</f>
        <v>0</v>
      </c>
      <c r="M840" s="46">
        <f>I840*J840</f>
        <v>0</v>
      </c>
      <c r="N840" s="46">
        <v>0.01397</v>
      </c>
      <c r="O840" s="6" t="s">
        <v>1149</v>
      </c>
      <c r="Z840" s="46">
        <f>IF(AQ840="5",BJ840,0)</f>
        <v>0</v>
      </c>
      <c r="AB840" s="46">
        <f>IF(AQ840="1",BH840,0)</f>
        <v>0</v>
      </c>
      <c r="AC840" s="46">
        <f>IF(AQ840="1",BI840,0)</f>
        <v>0</v>
      </c>
      <c r="AD840" s="46">
        <f>IF(AQ840="7",BH840,0)</f>
        <v>0</v>
      </c>
      <c r="AE840" s="46">
        <f>IF(AQ840="7",BI840,0)</f>
        <v>0</v>
      </c>
      <c r="AF840" s="46">
        <f>IF(AQ840="2",BH840,0)</f>
        <v>0</v>
      </c>
      <c r="AG840" s="46">
        <f>IF(AQ840="2",BI840,0)</f>
        <v>0</v>
      </c>
      <c r="AH840" s="46">
        <f>IF(AQ840="0",BJ840,0)</f>
        <v>0</v>
      </c>
      <c r="AI840" s="1" t="s">
        <v>853</v>
      </c>
      <c r="AJ840" s="46">
        <f>IF(AN840=0,M840,0)</f>
        <v>0</v>
      </c>
      <c r="AK840" s="46">
        <f>IF(AN840=15,M840,0)</f>
        <v>0</v>
      </c>
      <c r="AL840" s="46">
        <f>IF(AN840=21,M840,0)</f>
        <v>0</v>
      </c>
      <c r="AN840" s="46">
        <v>21</v>
      </c>
      <c r="AO840" s="46">
        <f>J840*0.149796512387908</f>
        <v>0</v>
      </c>
      <c r="AP840" s="46">
        <f>J840*(1-0.149796512387908)</f>
        <v>0</v>
      </c>
      <c r="AQ840" s="42" t="s">
        <v>1648</v>
      </c>
      <c r="AV840" s="46">
        <f>AW840+AX840</f>
        <v>0</v>
      </c>
      <c r="AW840" s="46">
        <f>I840*AO840</f>
        <v>0</v>
      </c>
      <c r="AX840" s="46">
        <f>I840*AP840</f>
        <v>0</v>
      </c>
      <c r="AY840" s="42" t="s">
        <v>814</v>
      </c>
      <c r="AZ840" s="42" t="s">
        <v>1865</v>
      </c>
      <c r="BA840" s="1" t="s">
        <v>589</v>
      </c>
      <c r="BC840" s="46">
        <f>AW840+AX840</f>
        <v>0</v>
      </c>
      <c r="BD840" s="46">
        <f>J840/(100-BE840)*100</f>
        <v>0</v>
      </c>
      <c r="BE840" s="46">
        <v>0</v>
      </c>
      <c r="BF840" s="46">
        <f>840</f>
        <v>840</v>
      </c>
      <c r="BH840" s="46">
        <f>I840*AO840</f>
        <v>0</v>
      </c>
      <c r="BI840" s="46">
        <f>I840*AP840</f>
        <v>0</v>
      </c>
      <c r="BJ840" s="46">
        <f>I840*J840</f>
        <v>0</v>
      </c>
      <c r="BK840" s="46"/>
      <c r="BL840" s="46">
        <v>18</v>
      </c>
    </row>
    <row r="841" spans="1:15" ht="15" customHeight="1">
      <c r="A841" s="10"/>
      <c r="D841" s="32" t="s">
        <v>965</v>
      </c>
      <c r="G841" s="32" t="s">
        <v>1163</v>
      </c>
      <c r="I841" s="58">
        <v>10</v>
      </c>
      <c r="O841" s="30"/>
    </row>
    <row r="842" spans="1:64" ht="15" customHeight="1">
      <c r="A842" s="52" t="s">
        <v>1288</v>
      </c>
      <c r="B842" s="43" t="s">
        <v>853</v>
      </c>
      <c r="C842" s="43" t="s">
        <v>687</v>
      </c>
      <c r="D842" s="61" t="s">
        <v>1683</v>
      </c>
      <c r="E842" s="61"/>
      <c r="F842" s="61"/>
      <c r="G842" s="61"/>
      <c r="H842" s="43" t="s">
        <v>392</v>
      </c>
      <c r="I842" s="46">
        <v>10</v>
      </c>
      <c r="J842" s="46">
        <v>0</v>
      </c>
      <c r="K842" s="46">
        <f>I842*AO842</f>
        <v>0</v>
      </c>
      <c r="L842" s="46">
        <f>I842*AP842</f>
        <v>0</v>
      </c>
      <c r="M842" s="46">
        <f>I842*J842</f>
        <v>0</v>
      </c>
      <c r="N842" s="46">
        <v>0.005</v>
      </c>
      <c r="O842" s="6" t="s">
        <v>1149</v>
      </c>
      <c r="Z842" s="46">
        <f>IF(AQ842="5",BJ842,0)</f>
        <v>0</v>
      </c>
      <c r="AB842" s="46">
        <f>IF(AQ842="1",BH842,0)</f>
        <v>0</v>
      </c>
      <c r="AC842" s="46">
        <f>IF(AQ842="1",BI842,0)</f>
        <v>0</v>
      </c>
      <c r="AD842" s="46">
        <f>IF(AQ842="7",BH842,0)</f>
        <v>0</v>
      </c>
      <c r="AE842" s="46">
        <f>IF(AQ842="7",BI842,0)</f>
        <v>0</v>
      </c>
      <c r="AF842" s="46">
        <f>IF(AQ842="2",BH842,0)</f>
        <v>0</v>
      </c>
      <c r="AG842" s="46">
        <f>IF(AQ842="2",BI842,0)</f>
        <v>0</v>
      </c>
      <c r="AH842" s="46">
        <f>IF(AQ842="0",BJ842,0)</f>
        <v>0</v>
      </c>
      <c r="AI842" s="1" t="s">
        <v>853</v>
      </c>
      <c r="AJ842" s="46">
        <f>IF(AN842=0,M842,0)</f>
        <v>0</v>
      </c>
      <c r="AK842" s="46">
        <f>IF(AN842=15,M842,0)</f>
        <v>0</v>
      </c>
      <c r="AL842" s="46">
        <f>IF(AN842=21,M842,0)</f>
        <v>0</v>
      </c>
      <c r="AN842" s="46">
        <v>21</v>
      </c>
      <c r="AO842" s="46">
        <f>J842*1</f>
        <v>0</v>
      </c>
      <c r="AP842" s="46">
        <f>J842*(1-1)</f>
        <v>0</v>
      </c>
      <c r="AQ842" s="42" t="s">
        <v>1648</v>
      </c>
      <c r="AV842" s="46">
        <f>AW842+AX842</f>
        <v>0</v>
      </c>
      <c r="AW842" s="46">
        <f>I842*AO842</f>
        <v>0</v>
      </c>
      <c r="AX842" s="46">
        <f>I842*AP842</f>
        <v>0</v>
      </c>
      <c r="AY842" s="42" t="s">
        <v>814</v>
      </c>
      <c r="AZ842" s="42" t="s">
        <v>1865</v>
      </c>
      <c r="BA842" s="1" t="s">
        <v>589</v>
      </c>
      <c r="BC842" s="46">
        <f>AW842+AX842</f>
        <v>0</v>
      </c>
      <c r="BD842" s="46">
        <f>J842/(100-BE842)*100</f>
        <v>0</v>
      </c>
      <c r="BE842" s="46">
        <v>0</v>
      </c>
      <c r="BF842" s="46">
        <f>842</f>
        <v>842</v>
      </c>
      <c r="BH842" s="46">
        <f>I842*AO842</f>
        <v>0</v>
      </c>
      <c r="BI842" s="46">
        <f>I842*AP842</f>
        <v>0</v>
      </c>
      <c r="BJ842" s="46">
        <f>I842*J842</f>
        <v>0</v>
      </c>
      <c r="BK842" s="46"/>
      <c r="BL842" s="46">
        <v>18</v>
      </c>
    </row>
    <row r="843" spans="1:15" ht="15" customHeight="1">
      <c r="A843" s="10"/>
      <c r="D843" s="32" t="s">
        <v>965</v>
      </c>
      <c r="G843" s="32" t="s">
        <v>946</v>
      </c>
      <c r="I843" s="58">
        <v>10</v>
      </c>
      <c r="O843" s="30"/>
    </row>
    <row r="844" spans="1:15" ht="27" customHeight="1">
      <c r="A844" s="10"/>
      <c r="C844" s="36" t="s">
        <v>144</v>
      </c>
      <c r="D844" s="65" t="s">
        <v>1730</v>
      </c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7"/>
    </row>
    <row r="845" spans="1:64" ht="15" customHeight="1">
      <c r="A845" s="52" t="s">
        <v>1223</v>
      </c>
      <c r="B845" s="43" t="s">
        <v>853</v>
      </c>
      <c r="C845" s="43" t="s">
        <v>1022</v>
      </c>
      <c r="D845" s="61" t="s">
        <v>98</v>
      </c>
      <c r="E845" s="61"/>
      <c r="F845" s="61"/>
      <c r="G845" s="61"/>
      <c r="H845" s="43" t="s">
        <v>392</v>
      </c>
      <c r="I845" s="46">
        <v>10</v>
      </c>
      <c r="J845" s="46">
        <v>0</v>
      </c>
      <c r="K845" s="46">
        <f>I845*AO845</f>
        <v>0</v>
      </c>
      <c r="L845" s="46">
        <f>I845*AP845</f>
        <v>0</v>
      </c>
      <c r="M845" s="46">
        <f>I845*J845</f>
        <v>0</v>
      </c>
      <c r="N845" s="46">
        <v>0.00045</v>
      </c>
      <c r="O845" s="6" t="s">
        <v>1149</v>
      </c>
      <c r="Z845" s="46">
        <f>IF(AQ845="5",BJ845,0)</f>
        <v>0</v>
      </c>
      <c r="AB845" s="46">
        <f>IF(AQ845="1",BH845,0)</f>
        <v>0</v>
      </c>
      <c r="AC845" s="46">
        <f>IF(AQ845="1",BI845,0)</f>
        <v>0</v>
      </c>
      <c r="AD845" s="46">
        <f>IF(AQ845="7",BH845,0)</f>
        <v>0</v>
      </c>
      <c r="AE845" s="46">
        <f>IF(AQ845="7",BI845,0)</f>
        <v>0</v>
      </c>
      <c r="AF845" s="46">
        <f>IF(AQ845="2",BH845,0)</f>
        <v>0</v>
      </c>
      <c r="AG845" s="46">
        <f>IF(AQ845="2",BI845,0)</f>
        <v>0</v>
      </c>
      <c r="AH845" s="46">
        <f>IF(AQ845="0",BJ845,0)</f>
        <v>0</v>
      </c>
      <c r="AI845" s="1" t="s">
        <v>853</v>
      </c>
      <c r="AJ845" s="46">
        <f>IF(AN845=0,M845,0)</f>
        <v>0</v>
      </c>
      <c r="AK845" s="46">
        <f>IF(AN845=15,M845,0)</f>
        <v>0</v>
      </c>
      <c r="AL845" s="46">
        <f>IF(AN845=21,M845,0)</f>
        <v>0</v>
      </c>
      <c r="AN845" s="46">
        <v>21</v>
      </c>
      <c r="AO845" s="46">
        <f>J845*0.194008810572687</f>
        <v>0</v>
      </c>
      <c r="AP845" s="46">
        <f>J845*(1-0.194008810572687)</f>
        <v>0</v>
      </c>
      <c r="AQ845" s="42" t="s">
        <v>1648</v>
      </c>
      <c r="AV845" s="46">
        <f>AW845+AX845</f>
        <v>0</v>
      </c>
      <c r="AW845" s="46">
        <f>I845*AO845</f>
        <v>0</v>
      </c>
      <c r="AX845" s="46">
        <f>I845*AP845</f>
        <v>0</v>
      </c>
      <c r="AY845" s="42" t="s">
        <v>814</v>
      </c>
      <c r="AZ845" s="42" t="s">
        <v>1865</v>
      </c>
      <c r="BA845" s="1" t="s">
        <v>589</v>
      </c>
      <c r="BC845" s="46">
        <f>AW845+AX845</f>
        <v>0</v>
      </c>
      <c r="BD845" s="46">
        <f>J845/(100-BE845)*100</f>
        <v>0</v>
      </c>
      <c r="BE845" s="46">
        <v>0</v>
      </c>
      <c r="BF845" s="46">
        <f>845</f>
        <v>845</v>
      </c>
      <c r="BH845" s="46">
        <f>I845*AO845</f>
        <v>0</v>
      </c>
      <c r="BI845" s="46">
        <f>I845*AP845</f>
        <v>0</v>
      </c>
      <c r="BJ845" s="46">
        <f>I845*J845</f>
        <v>0</v>
      </c>
      <c r="BK845" s="46"/>
      <c r="BL845" s="46">
        <v>18</v>
      </c>
    </row>
    <row r="846" spans="1:15" ht="15" customHeight="1">
      <c r="A846" s="10"/>
      <c r="D846" s="32" t="s">
        <v>965</v>
      </c>
      <c r="G846" s="32" t="s">
        <v>1163</v>
      </c>
      <c r="I846" s="58">
        <v>10</v>
      </c>
      <c r="O846" s="30"/>
    </row>
    <row r="847" spans="1:64" ht="15" customHeight="1">
      <c r="A847" s="52" t="s">
        <v>1009</v>
      </c>
      <c r="B847" s="43" t="s">
        <v>853</v>
      </c>
      <c r="C847" s="43" t="s">
        <v>971</v>
      </c>
      <c r="D847" s="61" t="s">
        <v>1395</v>
      </c>
      <c r="E847" s="61"/>
      <c r="F847" s="61"/>
      <c r="G847" s="61"/>
      <c r="H847" s="43" t="s">
        <v>1629</v>
      </c>
      <c r="I847" s="46">
        <v>72</v>
      </c>
      <c r="J847" s="46">
        <v>0</v>
      </c>
      <c r="K847" s="46">
        <f>I847*AO847</f>
        <v>0</v>
      </c>
      <c r="L847" s="46">
        <f>I847*AP847</f>
        <v>0</v>
      </c>
      <c r="M847" s="46">
        <f>I847*J847</f>
        <v>0</v>
      </c>
      <c r="N847" s="46">
        <v>0.0002</v>
      </c>
      <c r="O847" s="6" t="s">
        <v>1149</v>
      </c>
      <c r="Z847" s="46">
        <f>IF(AQ847="5",BJ847,0)</f>
        <v>0</v>
      </c>
      <c r="AB847" s="46">
        <f>IF(AQ847="1",BH847,0)</f>
        <v>0</v>
      </c>
      <c r="AC847" s="46">
        <f>IF(AQ847="1",BI847,0)</f>
        <v>0</v>
      </c>
      <c r="AD847" s="46">
        <f>IF(AQ847="7",BH847,0)</f>
        <v>0</v>
      </c>
      <c r="AE847" s="46">
        <f>IF(AQ847="7",BI847,0)</f>
        <v>0</v>
      </c>
      <c r="AF847" s="46">
        <f>IF(AQ847="2",BH847,0)</f>
        <v>0</v>
      </c>
      <c r="AG847" s="46">
        <f>IF(AQ847="2",BI847,0)</f>
        <v>0</v>
      </c>
      <c r="AH847" s="46">
        <f>IF(AQ847="0",BJ847,0)</f>
        <v>0</v>
      </c>
      <c r="AI847" s="1" t="s">
        <v>853</v>
      </c>
      <c r="AJ847" s="46">
        <f>IF(AN847=0,M847,0)</f>
        <v>0</v>
      </c>
      <c r="AK847" s="46">
        <f>IF(AN847=15,M847,0)</f>
        <v>0</v>
      </c>
      <c r="AL847" s="46">
        <f>IF(AN847=21,M847,0)</f>
        <v>0</v>
      </c>
      <c r="AN847" s="46">
        <v>21</v>
      </c>
      <c r="AO847" s="46">
        <f>J847*0.599917508764694</f>
        <v>0</v>
      </c>
      <c r="AP847" s="46">
        <f>J847*(1-0.599917508764694)</f>
        <v>0</v>
      </c>
      <c r="AQ847" s="42" t="s">
        <v>1648</v>
      </c>
      <c r="AV847" s="46">
        <f>AW847+AX847</f>
        <v>0</v>
      </c>
      <c r="AW847" s="46">
        <f>I847*AO847</f>
        <v>0</v>
      </c>
      <c r="AX847" s="46">
        <f>I847*AP847</f>
        <v>0</v>
      </c>
      <c r="AY847" s="42" t="s">
        <v>814</v>
      </c>
      <c r="AZ847" s="42" t="s">
        <v>1865</v>
      </c>
      <c r="BA847" s="1" t="s">
        <v>589</v>
      </c>
      <c r="BC847" s="46">
        <f>AW847+AX847</f>
        <v>0</v>
      </c>
      <c r="BD847" s="46">
        <f>J847/(100-BE847)*100</f>
        <v>0</v>
      </c>
      <c r="BE847" s="46">
        <v>0</v>
      </c>
      <c r="BF847" s="46">
        <f>847</f>
        <v>847</v>
      </c>
      <c r="BH847" s="46">
        <f>I847*AO847</f>
        <v>0</v>
      </c>
      <c r="BI847" s="46">
        <f>I847*AP847</f>
        <v>0</v>
      </c>
      <c r="BJ847" s="46">
        <f>I847*J847</f>
        <v>0</v>
      </c>
      <c r="BK847" s="46"/>
      <c r="BL847" s="46">
        <v>18</v>
      </c>
    </row>
    <row r="848" spans="1:15" ht="15" customHeight="1">
      <c r="A848" s="10"/>
      <c r="D848" s="32" t="s">
        <v>1305</v>
      </c>
      <c r="G848" s="32" t="s">
        <v>1163</v>
      </c>
      <c r="I848" s="58">
        <v>72</v>
      </c>
      <c r="O848" s="30"/>
    </row>
    <row r="849" spans="1:15" ht="40.5" customHeight="1">
      <c r="A849" s="10"/>
      <c r="C849" s="36" t="s">
        <v>144</v>
      </c>
      <c r="D849" s="65" t="s">
        <v>1832</v>
      </c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7"/>
    </row>
    <row r="850" spans="1:64" ht="15" customHeight="1">
      <c r="A850" s="52" t="s">
        <v>1110</v>
      </c>
      <c r="B850" s="43" t="s">
        <v>853</v>
      </c>
      <c r="C850" s="43" t="s">
        <v>1490</v>
      </c>
      <c r="D850" s="61" t="s">
        <v>1072</v>
      </c>
      <c r="E850" s="61"/>
      <c r="F850" s="61"/>
      <c r="G850" s="61"/>
      <c r="H850" s="43" t="s">
        <v>1604</v>
      </c>
      <c r="I850" s="46">
        <v>6</v>
      </c>
      <c r="J850" s="46">
        <v>0</v>
      </c>
      <c r="K850" s="46">
        <f>I850*AO850</f>
        <v>0</v>
      </c>
      <c r="L850" s="46">
        <f>I850*AP850</f>
        <v>0</v>
      </c>
      <c r="M850" s="46">
        <f>I850*J850</f>
        <v>0</v>
      </c>
      <c r="N850" s="46">
        <v>0</v>
      </c>
      <c r="O850" s="6" t="s">
        <v>1149</v>
      </c>
      <c r="Z850" s="46">
        <f>IF(AQ850="5",BJ850,0)</f>
        <v>0</v>
      </c>
      <c r="AB850" s="46">
        <f>IF(AQ850="1",BH850,0)</f>
        <v>0</v>
      </c>
      <c r="AC850" s="46">
        <f>IF(AQ850="1",BI850,0)</f>
        <v>0</v>
      </c>
      <c r="AD850" s="46">
        <f>IF(AQ850="7",BH850,0)</f>
        <v>0</v>
      </c>
      <c r="AE850" s="46">
        <f>IF(AQ850="7",BI850,0)</f>
        <v>0</v>
      </c>
      <c r="AF850" s="46">
        <f>IF(AQ850="2",BH850,0)</f>
        <v>0</v>
      </c>
      <c r="AG850" s="46">
        <f>IF(AQ850="2",BI850,0)</f>
        <v>0</v>
      </c>
      <c r="AH850" s="46">
        <f>IF(AQ850="0",BJ850,0)</f>
        <v>0</v>
      </c>
      <c r="AI850" s="1" t="s">
        <v>853</v>
      </c>
      <c r="AJ850" s="46">
        <f>IF(AN850=0,M850,0)</f>
        <v>0</v>
      </c>
      <c r="AK850" s="46">
        <f>IF(AN850=15,M850,0)</f>
        <v>0</v>
      </c>
      <c r="AL850" s="46">
        <f>IF(AN850=21,M850,0)</f>
        <v>0</v>
      </c>
      <c r="AN850" s="46">
        <v>21</v>
      </c>
      <c r="AO850" s="46">
        <f>J850*0.306501547987616</f>
        <v>0</v>
      </c>
      <c r="AP850" s="46">
        <f>J850*(1-0.306501547987616)</f>
        <v>0</v>
      </c>
      <c r="AQ850" s="42" t="s">
        <v>1648</v>
      </c>
      <c r="AV850" s="46">
        <f>AW850+AX850</f>
        <v>0</v>
      </c>
      <c r="AW850" s="46">
        <f>I850*AO850</f>
        <v>0</v>
      </c>
      <c r="AX850" s="46">
        <f>I850*AP850</f>
        <v>0</v>
      </c>
      <c r="AY850" s="42" t="s">
        <v>814</v>
      </c>
      <c r="AZ850" s="42" t="s">
        <v>1865</v>
      </c>
      <c r="BA850" s="1" t="s">
        <v>589</v>
      </c>
      <c r="BC850" s="46">
        <f>AW850+AX850</f>
        <v>0</v>
      </c>
      <c r="BD850" s="46">
        <f>J850/(100-BE850)*100</f>
        <v>0</v>
      </c>
      <c r="BE850" s="46">
        <v>0</v>
      </c>
      <c r="BF850" s="46">
        <f>850</f>
        <v>850</v>
      </c>
      <c r="BH850" s="46">
        <f>I850*AO850</f>
        <v>0</v>
      </c>
      <c r="BI850" s="46">
        <f>I850*AP850</f>
        <v>0</v>
      </c>
      <c r="BJ850" s="46">
        <f>I850*J850</f>
        <v>0</v>
      </c>
      <c r="BK850" s="46"/>
      <c r="BL850" s="46">
        <v>18</v>
      </c>
    </row>
    <row r="851" spans="1:15" ht="15" customHeight="1">
      <c r="A851" s="10"/>
      <c r="D851" s="32" t="s">
        <v>269</v>
      </c>
      <c r="G851" s="32" t="s">
        <v>1527</v>
      </c>
      <c r="I851" s="58">
        <v>6.000000000000001</v>
      </c>
      <c r="O851" s="30"/>
    </row>
    <row r="852" spans="1:64" ht="15" customHeight="1">
      <c r="A852" s="52" t="s">
        <v>1286</v>
      </c>
      <c r="B852" s="43" t="s">
        <v>853</v>
      </c>
      <c r="C852" s="43" t="s">
        <v>1444</v>
      </c>
      <c r="D852" s="61" t="s">
        <v>515</v>
      </c>
      <c r="E852" s="61"/>
      <c r="F852" s="61"/>
      <c r="G852" s="61"/>
      <c r="H852" s="43" t="s">
        <v>1629</v>
      </c>
      <c r="I852" s="46">
        <v>200</v>
      </c>
      <c r="J852" s="46">
        <v>0</v>
      </c>
      <c r="K852" s="46">
        <f>I852*AO852</f>
        <v>0</v>
      </c>
      <c r="L852" s="46">
        <f>I852*AP852</f>
        <v>0</v>
      </c>
      <c r="M852" s="46">
        <f>I852*J852</f>
        <v>0</v>
      </c>
      <c r="N852" s="46">
        <v>0</v>
      </c>
      <c r="O852" s="6" t="s">
        <v>1149</v>
      </c>
      <c r="Z852" s="46">
        <f>IF(AQ852="5",BJ852,0)</f>
        <v>0</v>
      </c>
      <c r="AB852" s="46">
        <f>IF(AQ852="1",BH852,0)</f>
        <v>0</v>
      </c>
      <c r="AC852" s="46">
        <f>IF(AQ852="1",BI852,0)</f>
        <v>0</v>
      </c>
      <c r="AD852" s="46">
        <f>IF(AQ852="7",BH852,0)</f>
        <v>0</v>
      </c>
      <c r="AE852" s="46">
        <f>IF(AQ852="7",BI852,0)</f>
        <v>0</v>
      </c>
      <c r="AF852" s="46">
        <f>IF(AQ852="2",BH852,0)</f>
        <v>0</v>
      </c>
      <c r="AG852" s="46">
        <f>IF(AQ852="2",BI852,0)</f>
        <v>0</v>
      </c>
      <c r="AH852" s="46">
        <f>IF(AQ852="0",BJ852,0)</f>
        <v>0</v>
      </c>
      <c r="AI852" s="1" t="s">
        <v>853</v>
      </c>
      <c r="AJ852" s="46">
        <f>IF(AN852=0,M852,0)</f>
        <v>0</v>
      </c>
      <c r="AK852" s="46">
        <f>IF(AN852=15,M852,0)</f>
        <v>0</v>
      </c>
      <c r="AL852" s="46">
        <f>IF(AN852=21,M852,0)</f>
        <v>0</v>
      </c>
      <c r="AN852" s="46">
        <v>21</v>
      </c>
      <c r="AO852" s="46">
        <f>J852*0</f>
        <v>0</v>
      </c>
      <c r="AP852" s="46">
        <f>J852*(1-0)</f>
        <v>0</v>
      </c>
      <c r="AQ852" s="42" t="s">
        <v>1648</v>
      </c>
      <c r="AV852" s="46">
        <f>AW852+AX852</f>
        <v>0</v>
      </c>
      <c r="AW852" s="46">
        <f>I852*AO852</f>
        <v>0</v>
      </c>
      <c r="AX852" s="46">
        <f>I852*AP852</f>
        <v>0</v>
      </c>
      <c r="AY852" s="42" t="s">
        <v>814</v>
      </c>
      <c r="AZ852" s="42" t="s">
        <v>1865</v>
      </c>
      <c r="BA852" s="1" t="s">
        <v>589</v>
      </c>
      <c r="BC852" s="46">
        <f>AW852+AX852</f>
        <v>0</v>
      </c>
      <c r="BD852" s="46">
        <f>J852/(100-BE852)*100</f>
        <v>0</v>
      </c>
      <c r="BE852" s="46">
        <v>0</v>
      </c>
      <c r="BF852" s="46">
        <f>852</f>
        <v>852</v>
      </c>
      <c r="BH852" s="46">
        <f>I852*AO852</f>
        <v>0</v>
      </c>
      <c r="BI852" s="46">
        <f>I852*AP852</f>
        <v>0</v>
      </c>
      <c r="BJ852" s="46">
        <f>I852*J852</f>
        <v>0</v>
      </c>
      <c r="BK852" s="46"/>
      <c r="BL852" s="46">
        <v>18</v>
      </c>
    </row>
    <row r="853" spans="1:15" ht="15" customHeight="1">
      <c r="A853" s="10"/>
      <c r="D853" s="32" t="s">
        <v>540</v>
      </c>
      <c r="G853" s="32" t="s">
        <v>1163</v>
      </c>
      <c r="I853" s="58">
        <v>200.00000000000003</v>
      </c>
      <c r="O853" s="30"/>
    </row>
    <row r="854" spans="1:64" ht="15" customHeight="1">
      <c r="A854" s="52" t="s">
        <v>1117</v>
      </c>
      <c r="B854" s="43" t="s">
        <v>853</v>
      </c>
      <c r="C854" s="43" t="s">
        <v>997</v>
      </c>
      <c r="D854" s="61" t="s">
        <v>104</v>
      </c>
      <c r="E854" s="61"/>
      <c r="F854" s="61"/>
      <c r="G854" s="61"/>
      <c r="H854" s="43" t="s">
        <v>508</v>
      </c>
      <c r="I854" s="46">
        <v>3</v>
      </c>
      <c r="J854" s="46">
        <v>0</v>
      </c>
      <c r="K854" s="46">
        <f>I854*AO854</f>
        <v>0</v>
      </c>
      <c r="L854" s="46">
        <f>I854*AP854</f>
        <v>0</v>
      </c>
      <c r="M854" s="46">
        <f>I854*J854</f>
        <v>0</v>
      </c>
      <c r="N854" s="46">
        <v>0.001</v>
      </c>
      <c r="O854" s="6" t="s">
        <v>1149</v>
      </c>
      <c r="Z854" s="46">
        <f>IF(AQ854="5",BJ854,0)</f>
        <v>0</v>
      </c>
      <c r="AB854" s="46">
        <f>IF(AQ854="1",BH854,0)</f>
        <v>0</v>
      </c>
      <c r="AC854" s="46">
        <f>IF(AQ854="1",BI854,0)</f>
        <v>0</v>
      </c>
      <c r="AD854" s="46">
        <f>IF(AQ854="7",BH854,0)</f>
        <v>0</v>
      </c>
      <c r="AE854" s="46">
        <f>IF(AQ854="7",BI854,0)</f>
        <v>0</v>
      </c>
      <c r="AF854" s="46">
        <f>IF(AQ854="2",BH854,0)</f>
        <v>0</v>
      </c>
      <c r="AG854" s="46">
        <f>IF(AQ854="2",BI854,0)</f>
        <v>0</v>
      </c>
      <c r="AH854" s="46">
        <f>IF(AQ854="0",BJ854,0)</f>
        <v>0</v>
      </c>
      <c r="AI854" s="1" t="s">
        <v>853</v>
      </c>
      <c r="AJ854" s="46">
        <f>IF(AN854=0,M854,0)</f>
        <v>0</v>
      </c>
      <c r="AK854" s="46">
        <f>IF(AN854=15,M854,0)</f>
        <v>0</v>
      </c>
      <c r="AL854" s="46">
        <f>IF(AN854=21,M854,0)</f>
        <v>0</v>
      </c>
      <c r="AN854" s="46">
        <v>21</v>
      </c>
      <c r="AO854" s="46">
        <f>J854*1</f>
        <v>0</v>
      </c>
      <c r="AP854" s="46">
        <f>J854*(1-1)</f>
        <v>0</v>
      </c>
      <c r="AQ854" s="42" t="s">
        <v>1648</v>
      </c>
      <c r="AV854" s="46">
        <f>AW854+AX854</f>
        <v>0</v>
      </c>
      <c r="AW854" s="46">
        <f>I854*AO854</f>
        <v>0</v>
      </c>
      <c r="AX854" s="46">
        <f>I854*AP854</f>
        <v>0</v>
      </c>
      <c r="AY854" s="42" t="s">
        <v>814</v>
      </c>
      <c r="AZ854" s="42" t="s">
        <v>1865</v>
      </c>
      <c r="BA854" s="1" t="s">
        <v>589</v>
      </c>
      <c r="BC854" s="46">
        <f>AW854+AX854</f>
        <v>0</v>
      </c>
      <c r="BD854" s="46">
        <f>J854/(100-BE854)*100</f>
        <v>0</v>
      </c>
      <c r="BE854" s="46">
        <v>0</v>
      </c>
      <c r="BF854" s="46">
        <f>854</f>
        <v>854</v>
      </c>
      <c r="BH854" s="46">
        <f>I854*AO854</f>
        <v>0</v>
      </c>
      <c r="BI854" s="46">
        <f>I854*AP854</f>
        <v>0</v>
      </c>
      <c r="BJ854" s="46">
        <f>I854*J854</f>
        <v>0</v>
      </c>
      <c r="BK854" s="46"/>
      <c r="BL854" s="46">
        <v>18</v>
      </c>
    </row>
    <row r="855" spans="1:15" ht="15" customHeight="1">
      <c r="A855" s="10"/>
      <c r="D855" s="32" t="s">
        <v>1430</v>
      </c>
      <c r="G855" s="32" t="s">
        <v>145</v>
      </c>
      <c r="I855" s="58">
        <v>3.0000000000000004</v>
      </c>
      <c r="O855" s="30"/>
    </row>
    <row r="856" spans="1:15" ht="13.5" customHeight="1">
      <c r="A856" s="10"/>
      <c r="C856" s="36" t="s">
        <v>144</v>
      </c>
      <c r="D856" s="65" t="s">
        <v>1136</v>
      </c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7"/>
    </row>
    <row r="857" spans="1:64" ht="15" customHeight="1">
      <c r="A857" s="52" t="s">
        <v>1366</v>
      </c>
      <c r="B857" s="43" t="s">
        <v>853</v>
      </c>
      <c r="C857" s="43" t="s">
        <v>370</v>
      </c>
      <c r="D857" s="61" t="s">
        <v>1500</v>
      </c>
      <c r="E857" s="61"/>
      <c r="F857" s="61"/>
      <c r="G857" s="61"/>
      <c r="H857" s="43" t="s">
        <v>1629</v>
      </c>
      <c r="I857" s="46">
        <v>72</v>
      </c>
      <c r="J857" s="46">
        <v>0</v>
      </c>
      <c r="K857" s="46">
        <f>I857*AO857</f>
        <v>0</v>
      </c>
      <c r="L857" s="46">
        <f>I857*AP857</f>
        <v>0</v>
      </c>
      <c r="M857" s="46">
        <f>I857*J857</f>
        <v>0</v>
      </c>
      <c r="N857" s="46">
        <v>0</v>
      </c>
      <c r="O857" s="6" t="s">
        <v>1149</v>
      </c>
      <c r="Z857" s="46">
        <f>IF(AQ857="5",BJ857,0)</f>
        <v>0</v>
      </c>
      <c r="AB857" s="46">
        <f>IF(AQ857="1",BH857,0)</f>
        <v>0</v>
      </c>
      <c r="AC857" s="46">
        <f>IF(AQ857="1",BI857,0)</f>
        <v>0</v>
      </c>
      <c r="AD857" s="46">
        <f>IF(AQ857="7",BH857,0)</f>
        <v>0</v>
      </c>
      <c r="AE857" s="46">
        <f>IF(AQ857="7",BI857,0)</f>
        <v>0</v>
      </c>
      <c r="AF857" s="46">
        <f>IF(AQ857="2",BH857,0)</f>
        <v>0</v>
      </c>
      <c r="AG857" s="46">
        <f>IF(AQ857="2",BI857,0)</f>
        <v>0</v>
      </c>
      <c r="AH857" s="46">
        <f>IF(AQ857="0",BJ857,0)</f>
        <v>0</v>
      </c>
      <c r="AI857" s="1" t="s">
        <v>853</v>
      </c>
      <c r="AJ857" s="46">
        <f>IF(AN857=0,M857,0)</f>
        <v>0</v>
      </c>
      <c r="AK857" s="46">
        <f>IF(AN857=15,M857,0)</f>
        <v>0</v>
      </c>
      <c r="AL857" s="46">
        <f>IF(AN857=21,M857,0)</f>
        <v>0</v>
      </c>
      <c r="AN857" s="46">
        <v>21</v>
      </c>
      <c r="AO857" s="46">
        <f>J857*0</f>
        <v>0</v>
      </c>
      <c r="AP857" s="46">
        <f>J857*(1-0)</f>
        <v>0</v>
      </c>
      <c r="AQ857" s="42" t="s">
        <v>1648</v>
      </c>
      <c r="AV857" s="46">
        <f>AW857+AX857</f>
        <v>0</v>
      </c>
      <c r="AW857" s="46">
        <f>I857*AO857</f>
        <v>0</v>
      </c>
      <c r="AX857" s="46">
        <f>I857*AP857</f>
        <v>0</v>
      </c>
      <c r="AY857" s="42" t="s">
        <v>814</v>
      </c>
      <c r="AZ857" s="42" t="s">
        <v>1865</v>
      </c>
      <c r="BA857" s="1" t="s">
        <v>589</v>
      </c>
      <c r="BC857" s="46">
        <f>AW857+AX857</f>
        <v>0</v>
      </c>
      <c r="BD857" s="46">
        <f>J857/(100-BE857)*100</f>
        <v>0</v>
      </c>
      <c r="BE857" s="46">
        <v>0</v>
      </c>
      <c r="BF857" s="46">
        <f>857</f>
        <v>857</v>
      </c>
      <c r="BH857" s="46">
        <f>I857*AO857</f>
        <v>0</v>
      </c>
      <c r="BI857" s="46">
        <f>I857*AP857</f>
        <v>0</v>
      </c>
      <c r="BJ857" s="46">
        <f>I857*J857</f>
        <v>0</v>
      </c>
      <c r="BK857" s="46"/>
      <c r="BL857" s="46">
        <v>18</v>
      </c>
    </row>
    <row r="858" spans="1:15" ht="15" customHeight="1">
      <c r="A858" s="10"/>
      <c r="D858" s="32" t="s">
        <v>1305</v>
      </c>
      <c r="G858" s="32" t="s">
        <v>1163</v>
      </c>
      <c r="I858" s="58">
        <v>72</v>
      </c>
      <c r="O858" s="30"/>
    </row>
    <row r="859" spans="1:64" ht="15" customHeight="1">
      <c r="A859" s="52" t="s">
        <v>580</v>
      </c>
      <c r="B859" s="43" t="s">
        <v>853</v>
      </c>
      <c r="C859" s="43" t="s">
        <v>1528</v>
      </c>
      <c r="D859" s="61" t="s">
        <v>1347</v>
      </c>
      <c r="E859" s="61"/>
      <c r="F859" s="61"/>
      <c r="G859" s="61"/>
      <c r="H859" s="43" t="s">
        <v>1574</v>
      </c>
      <c r="I859" s="46">
        <v>1</v>
      </c>
      <c r="J859" s="46">
        <v>0</v>
      </c>
      <c r="K859" s="46">
        <f>I859*AO859</f>
        <v>0</v>
      </c>
      <c r="L859" s="46">
        <f>I859*AP859</f>
        <v>0</v>
      </c>
      <c r="M859" s="46">
        <f>I859*J859</f>
        <v>0</v>
      </c>
      <c r="N859" s="46">
        <v>0.001</v>
      </c>
      <c r="O859" s="6" t="s">
        <v>1149</v>
      </c>
      <c r="Z859" s="46">
        <f>IF(AQ859="5",BJ859,0)</f>
        <v>0</v>
      </c>
      <c r="AB859" s="46">
        <f>IF(AQ859="1",BH859,0)</f>
        <v>0</v>
      </c>
      <c r="AC859" s="46">
        <f>IF(AQ859="1",BI859,0)</f>
        <v>0</v>
      </c>
      <c r="AD859" s="46">
        <f>IF(AQ859="7",BH859,0)</f>
        <v>0</v>
      </c>
      <c r="AE859" s="46">
        <f>IF(AQ859="7",BI859,0)</f>
        <v>0</v>
      </c>
      <c r="AF859" s="46">
        <f>IF(AQ859="2",BH859,0)</f>
        <v>0</v>
      </c>
      <c r="AG859" s="46">
        <f>IF(AQ859="2",BI859,0)</f>
        <v>0</v>
      </c>
      <c r="AH859" s="46">
        <f>IF(AQ859="0",BJ859,0)</f>
        <v>0</v>
      </c>
      <c r="AI859" s="1" t="s">
        <v>853</v>
      </c>
      <c r="AJ859" s="46">
        <f>IF(AN859=0,M859,0)</f>
        <v>0</v>
      </c>
      <c r="AK859" s="46">
        <f>IF(AN859=15,M859,0)</f>
        <v>0</v>
      </c>
      <c r="AL859" s="46">
        <f>IF(AN859=21,M859,0)</f>
        <v>0</v>
      </c>
      <c r="AN859" s="46">
        <v>21</v>
      </c>
      <c r="AO859" s="46">
        <f>J859*1</f>
        <v>0</v>
      </c>
      <c r="AP859" s="46">
        <f>J859*(1-1)</f>
        <v>0</v>
      </c>
      <c r="AQ859" s="42" t="s">
        <v>1648</v>
      </c>
      <c r="AV859" s="46">
        <f>AW859+AX859</f>
        <v>0</v>
      </c>
      <c r="AW859" s="46">
        <f>I859*AO859</f>
        <v>0</v>
      </c>
      <c r="AX859" s="46">
        <f>I859*AP859</f>
        <v>0</v>
      </c>
      <c r="AY859" s="42" t="s">
        <v>814</v>
      </c>
      <c r="AZ859" s="42" t="s">
        <v>1865</v>
      </c>
      <c r="BA859" s="1" t="s">
        <v>589</v>
      </c>
      <c r="BC859" s="46">
        <f>AW859+AX859</f>
        <v>0</v>
      </c>
      <c r="BD859" s="46">
        <f>J859/(100-BE859)*100</f>
        <v>0</v>
      </c>
      <c r="BE859" s="46">
        <v>0</v>
      </c>
      <c r="BF859" s="46">
        <f>859</f>
        <v>859</v>
      </c>
      <c r="BH859" s="46">
        <f>I859*AO859</f>
        <v>0</v>
      </c>
      <c r="BI859" s="46">
        <f>I859*AP859</f>
        <v>0</v>
      </c>
      <c r="BJ859" s="46">
        <f>I859*J859</f>
        <v>0</v>
      </c>
      <c r="BK859" s="46"/>
      <c r="BL859" s="46">
        <v>18</v>
      </c>
    </row>
    <row r="860" spans="1:64" ht="15" customHeight="1">
      <c r="A860" s="52" t="s">
        <v>364</v>
      </c>
      <c r="B860" s="43" t="s">
        <v>853</v>
      </c>
      <c r="C860" s="43" t="s">
        <v>996</v>
      </c>
      <c r="D860" s="61" t="s">
        <v>1146</v>
      </c>
      <c r="E860" s="61"/>
      <c r="F860" s="61"/>
      <c r="G860" s="61"/>
      <c r="H860" s="43" t="s">
        <v>392</v>
      </c>
      <c r="I860" s="46">
        <v>21</v>
      </c>
      <c r="J860" s="46">
        <v>0</v>
      </c>
      <c r="K860" s="46">
        <f>I860*AO860</f>
        <v>0</v>
      </c>
      <c r="L860" s="46">
        <f>I860*AP860</f>
        <v>0</v>
      </c>
      <c r="M860" s="46">
        <f>I860*J860</f>
        <v>0</v>
      </c>
      <c r="N860" s="46">
        <v>0.0082</v>
      </c>
      <c r="O860" s="6" t="s">
        <v>1149</v>
      </c>
      <c r="Z860" s="46">
        <f>IF(AQ860="5",BJ860,0)</f>
        <v>0</v>
      </c>
      <c r="AB860" s="46">
        <f>IF(AQ860="1",BH860,0)</f>
        <v>0</v>
      </c>
      <c r="AC860" s="46">
        <f>IF(AQ860="1",BI860,0)</f>
        <v>0</v>
      </c>
      <c r="AD860" s="46">
        <f>IF(AQ860="7",BH860,0)</f>
        <v>0</v>
      </c>
      <c r="AE860" s="46">
        <f>IF(AQ860="7",BI860,0)</f>
        <v>0</v>
      </c>
      <c r="AF860" s="46">
        <f>IF(AQ860="2",BH860,0)</f>
        <v>0</v>
      </c>
      <c r="AG860" s="46">
        <f>IF(AQ860="2",BI860,0)</f>
        <v>0</v>
      </c>
      <c r="AH860" s="46">
        <f>IF(AQ860="0",BJ860,0)</f>
        <v>0</v>
      </c>
      <c r="AI860" s="1" t="s">
        <v>853</v>
      </c>
      <c r="AJ860" s="46">
        <f>IF(AN860=0,M860,0)</f>
        <v>0</v>
      </c>
      <c r="AK860" s="46">
        <f>IF(AN860=15,M860,0)</f>
        <v>0</v>
      </c>
      <c r="AL860" s="46">
        <f>IF(AN860=21,M860,0)</f>
        <v>0</v>
      </c>
      <c r="AN860" s="46">
        <v>21</v>
      </c>
      <c r="AO860" s="46">
        <f>J860*1</f>
        <v>0</v>
      </c>
      <c r="AP860" s="46">
        <f>J860*(1-1)</f>
        <v>0</v>
      </c>
      <c r="AQ860" s="42" t="s">
        <v>1648</v>
      </c>
      <c r="AV860" s="46">
        <f>AW860+AX860</f>
        <v>0</v>
      </c>
      <c r="AW860" s="46">
        <f>I860*AO860</f>
        <v>0</v>
      </c>
      <c r="AX860" s="46">
        <f>I860*AP860</f>
        <v>0</v>
      </c>
      <c r="AY860" s="42" t="s">
        <v>814</v>
      </c>
      <c r="AZ860" s="42" t="s">
        <v>1865</v>
      </c>
      <c r="BA860" s="1" t="s">
        <v>589</v>
      </c>
      <c r="BC860" s="46">
        <f>AW860+AX860</f>
        <v>0</v>
      </c>
      <c r="BD860" s="46">
        <f>J860/(100-BE860)*100</f>
        <v>0</v>
      </c>
      <c r="BE860" s="46">
        <v>0</v>
      </c>
      <c r="BF860" s="46">
        <f>860</f>
        <v>860</v>
      </c>
      <c r="BH860" s="46">
        <f>I860*AO860</f>
        <v>0</v>
      </c>
      <c r="BI860" s="46">
        <f>I860*AP860</f>
        <v>0</v>
      </c>
      <c r="BJ860" s="46">
        <f>I860*J860</f>
        <v>0</v>
      </c>
      <c r="BK860" s="46"/>
      <c r="BL860" s="46">
        <v>18</v>
      </c>
    </row>
    <row r="861" spans="1:15" ht="15" customHeight="1">
      <c r="A861" s="10"/>
      <c r="D861" s="32" t="s">
        <v>1184</v>
      </c>
      <c r="G861" s="32" t="s">
        <v>1742</v>
      </c>
      <c r="I861" s="58">
        <v>21</v>
      </c>
      <c r="O861" s="30"/>
    </row>
    <row r="862" spans="1:64" ht="15" customHeight="1">
      <c r="A862" s="52" t="s">
        <v>1825</v>
      </c>
      <c r="B862" s="43" t="s">
        <v>853</v>
      </c>
      <c r="C862" s="43" t="s">
        <v>986</v>
      </c>
      <c r="D862" s="61" t="s">
        <v>832</v>
      </c>
      <c r="E862" s="61"/>
      <c r="F862" s="61"/>
      <c r="G862" s="61"/>
      <c r="H862" s="43" t="s">
        <v>1629</v>
      </c>
      <c r="I862" s="46">
        <v>26.5</v>
      </c>
      <c r="J862" s="46">
        <v>0</v>
      </c>
      <c r="K862" s="46">
        <f>I862*AO862</f>
        <v>0</v>
      </c>
      <c r="L862" s="46">
        <f>I862*AP862</f>
        <v>0</v>
      </c>
      <c r="M862" s="46">
        <f>I862*J862</f>
        <v>0</v>
      </c>
      <c r="N862" s="46">
        <v>0.00028</v>
      </c>
      <c r="O862" s="6" t="s">
        <v>1149</v>
      </c>
      <c r="Z862" s="46">
        <f>IF(AQ862="5",BJ862,0)</f>
        <v>0</v>
      </c>
      <c r="AB862" s="46">
        <f>IF(AQ862="1",BH862,0)</f>
        <v>0</v>
      </c>
      <c r="AC862" s="46">
        <f>IF(AQ862="1",BI862,0)</f>
        <v>0</v>
      </c>
      <c r="AD862" s="46">
        <f>IF(AQ862="7",BH862,0)</f>
        <v>0</v>
      </c>
      <c r="AE862" s="46">
        <f>IF(AQ862="7",BI862,0)</f>
        <v>0</v>
      </c>
      <c r="AF862" s="46">
        <f>IF(AQ862="2",BH862,0)</f>
        <v>0</v>
      </c>
      <c r="AG862" s="46">
        <f>IF(AQ862="2",BI862,0)</f>
        <v>0</v>
      </c>
      <c r="AH862" s="46">
        <f>IF(AQ862="0",BJ862,0)</f>
        <v>0</v>
      </c>
      <c r="AI862" s="1" t="s">
        <v>853</v>
      </c>
      <c r="AJ862" s="46">
        <f>IF(AN862=0,M862,0)</f>
        <v>0</v>
      </c>
      <c r="AK862" s="46">
        <f>IF(AN862=15,M862,0)</f>
        <v>0</v>
      </c>
      <c r="AL862" s="46">
        <f>IF(AN862=21,M862,0)</f>
        <v>0</v>
      </c>
      <c r="AN862" s="46">
        <v>21</v>
      </c>
      <c r="AO862" s="46">
        <f>J862*1</f>
        <v>0</v>
      </c>
      <c r="AP862" s="46">
        <f>J862*(1-1)</f>
        <v>0</v>
      </c>
      <c r="AQ862" s="42" t="s">
        <v>1648</v>
      </c>
      <c r="AV862" s="46">
        <f>AW862+AX862</f>
        <v>0</v>
      </c>
      <c r="AW862" s="46">
        <f>I862*AO862</f>
        <v>0</v>
      </c>
      <c r="AX862" s="46">
        <f>I862*AP862</f>
        <v>0</v>
      </c>
      <c r="AY862" s="42" t="s">
        <v>814</v>
      </c>
      <c r="AZ862" s="42" t="s">
        <v>1865</v>
      </c>
      <c r="BA862" s="1" t="s">
        <v>589</v>
      </c>
      <c r="BC862" s="46">
        <f>AW862+AX862</f>
        <v>0</v>
      </c>
      <c r="BD862" s="46">
        <f>J862/(100-BE862)*100</f>
        <v>0</v>
      </c>
      <c r="BE862" s="46">
        <v>0</v>
      </c>
      <c r="BF862" s="46">
        <f>862</f>
        <v>862</v>
      </c>
      <c r="BH862" s="46">
        <f>I862*AO862</f>
        <v>0</v>
      </c>
      <c r="BI862" s="46">
        <f>I862*AP862</f>
        <v>0</v>
      </c>
      <c r="BJ862" s="46">
        <f>I862*J862</f>
        <v>0</v>
      </c>
      <c r="BK862" s="46"/>
      <c r="BL862" s="46">
        <v>18</v>
      </c>
    </row>
    <row r="863" spans="1:15" ht="15" customHeight="1">
      <c r="A863" s="10"/>
      <c r="D863" s="32" t="s">
        <v>808</v>
      </c>
      <c r="G863" s="32" t="s">
        <v>1163</v>
      </c>
      <c r="I863" s="58">
        <v>26.500000000000004</v>
      </c>
      <c r="O863" s="30"/>
    </row>
    <row r="864" spans="1:64" ht="15" customHeight="1">
      <c r="A864" s="52" t="s">
        <v>161</v>
      </c>
      <c r="B864" s="43" t="s">
        <v>853</v>
      </c>
      <c r="C864" s="43" t="s">
        <v>1319</v>
      </c>
      <c r="D864" s="61" t="s">
        <v>723</v>
      </c>
      <c r="E864" s="61"/>
      <c r="F864" s="61"/>
      <c r="G864" s="61"/>
      <c r="H864" s="43" t="s">
        <v>749</v>
      </c>
      <c r="I864" s="46">
        <v>5.2</v>
      </c>
      <c r="J864" s="46">
        <v>0</v>
      </c>
      <c r="K864" s="46">
        <f>I864*AO864</f>
        <v>0</v>
      </c>
      <c r="L864" s="46">
        <f>I864*AP864</f>
        <v>0</v>
      </c>
      <c r="M864" s="46">
        <f>I864*J864</f>
        <v>0</v>
      </c>
      <c r="N864" s="46">
        <v>1</v>
      </c>
      <c r="O864" s="6" t="s">
        <v>1149</v>
      </c>
      <c r="Z864" s="46">
        <f>IF(AQ864="5",BJ864,0)</f>
        <v>0</v>
      </c>
      <c r="AB864" s="46">
        <f>IF(AQ864="1",BH864,0)</f>
        <v>0</v>
      </c>
      <c r="AC864" s="46">
        <f>IF(AQ864="1",BI864,0)</f>
        <v>0</v>
      </c>
      <c r="AD864" s="46">
        <f>IF(AQ864="7",BH864,0)</f>
        <v>0</v>
      </c>
      <c r="AE864" s="46">
        <f>IF(AQ864="7",BI864,0)</f>
        <v>0</v>
      </c>
      <c r="AF864" s="46">
        <f>IF(AQ864="2",BH864,0)</f>
        <v>0</v>
      </c>
      <c r="AG864" s="46">
        <f>IF(AQ864="2",BI864,0)</f>
        <v>0</v>
      </c>
      <c r="AH864" s="46">
        <f>IF(AQ864="0",BJ864,0)</f>
        <v>0</v>
      </c>
      <c r="AI864" s="1" t="s">
        <v>853</v>
      </c>
      <c r="AJ864" s="46">
        <f>IF(AN864=0,M864,0)</f>
        <v>0</v>
      </c>
      <c r="AK864" s="46">
        <f>IF(AN864=15,M864,0)</f>
        <v>0</v>
      </c>
      <c r="AL864" s="46">
        <f>IF(AN864=21,M864,0)</f>
        <v>0</v>
      </c>
      <c r="AN864" s="46">
        <v>21</v>
      </c>
      <c r="AO864" s="46">
        <f>J864*1</f>
        <v>0</v>
      </c>
      <c r="AP864" s="46">
        <f>J864*(1-1)</f>
        <v>0</v>
      </c>
      <c r="AQ864" s="42" t="s">
        <v>1648</v>
      </c>
      <c r="AV864" s="46">
        <f>AW864+AX864</f>
        <v>0</v>
      </c>
      <c r="AW864" s="46">
        <f>I864*AO864</f>
        <v>0</v>
      </c>
      <c r="AX864" s="46">
        <f>I864*AP864</f>
        <v>0</v>
      </c>
      <c r="AY864" s="42" t="s">
        <v>814</v>
      </c>
      <c r="AZ864" s="42" t="s">
        <v>1865</v>
      </c>
      <c r="BA864" s="1" t="s">
        <v>589</v>
      </c>
      <c r="BC864" s="46">
        <f>AW864+AX864</f>
        <v>0</v>
      </c>
      <c r="BD864" s="46">
        <f>J864/(100-BE864)*100</f>
        <v>0</v>
      </c>
      <c r="BE864" s="46">
        <v>0</v>
      </c>
      <c r="BF864" s="46">
        <f>864</f>
        <v>864</v>
      </c>
      <c r="BH864" s="46">
        <f>I864*AO864</f>
        <v>0</v>
      </c>
      <c r="BI864" s="46">
        <f>I864*AP864</f>
        <v>0</v>
      </c>
      <c r="BJ864" s="46">
        <f>I864*J864</f>
        <v>0</v>
      </c>
      <c r="BK864" s="46"/>
      <c r="BL864" s="46">
        <v>18</v>
      </c>
    </row>
    <row r="865" spans="1:15" ht="15" customHeight="1">
      <c r="A865" s="10"/>
      <c r="D865" s="32" t="s">
        <v>739</v>
      </c>
      <c r="G865" s="32" t="s">
        <v>244</v>
      </c>
      <c r="I865" s="58">
        <v>5.2</v>
      </c>
      <c r="O865" s="30"/>
    </row>
    <row r="866" spans="1:64" ht="15" customHeight="1">
      <c r="A866" s="52" t="s">
        <v>645</v>
      </c>
      <c r="B866" s="43" t="s">
        <v>853</v>
      </c>
      <c r="C866" s="43" t="s">
        <v>473</v>
      </c>
      <c r="D866" s="61" t="s">
        <v>1860</v>
      </c>
      <c r="E866" s="61"/>
      <c r="F866" s="61"/>
      <c r="G866" s="61"/>
      <c r="H866" s="43" t="s">
        <v>1629</v>
      </c>
      <c r="I866" s="46">
        <v>48</v>
      </c>
      <c r="J866" s="46">
        <v>0</v>
      </c>
      <c r="K866" s="46">
        <f>I866*AO866</f>
        <v>0</v>
      </c>
      <c r="L866" s="46">
        <f>I866*AP866</f>
        <v>0</v>
      </c>
      <c r="M866" s="46">
        <f>I866*J866</f>
        <v>0</v>
      </c>
      <c r="N866" s="46">
        <v>0</v>
      </c>
      <c r="O866" s="6" t="s">
        <v>1149</v>
      </c>
      <c r="Z866" s="46">
        <f>IF(AQ866="5",BJ866,0)</f>
        <v>0</v>
      </c>
      <c r="AB866" s="46">
        <f>IF(AQ866="1",BH866,0)</f>
        <v>0</v>
      </c>
      <c r="AC866" s="46">
        <f>IF(AQ866="1",BI866,0)</f>
        <v>0</v>
      </c>
      <c r="AD866" s="46">
        <f>IF(AQ866="7",BH866,0)</f>
        <v>0</v>
      </c>
      <c r="AE866" s="46">
        <f>IF(AQ866="7",BI866,0)</f>
        <v>0</v>
      </c>
      <c r="AF866" s="46">
        <f>IF(AQ866="2",BH866,0)</f>
        <v>0</v>
      </c>
      <c r="AG866" s="46">
        <f>IF(AQ866="2",BI866,0)</f>
        <v>0</v>
      </c>
      <c r="AH866" s="46">
        <f>IF(AQ866="0",BJ866,0)</f>
        <v>0</v>
      </c>
      <c r="AI866" s="1" t="s">
        <v>853</v>
      </c>
      <c r="AJ866" s="46">
        <f>IF(AN866=0,M866,0)</f>
        <v>0</v>
      </c>
      <c r="AK866" s="46">
        <f>IF(AN866=15,M866,0)</f>
        <v>0</v>
      </c>
      <c r="AL866" s="46">
        <f>IF(AN866=21,M866,0)</f>
        <v>0</v>
      </c>
      <c r="AN866" s="46">
        <v>21</v>
      </c>
      <c r="AO866" s="46">
        <f>J866*0</f>
        <v>0</v>
      </c>
      <c r="AP866" s="46">
        <f>J866*(1-0)</f>
        <v>0</v>
      </c>
      <c r="AQ866" s="42" t="s">
        <v>1648</v>
      </c>
      <c r="AV866" s="46">
        <f>AW866+AX866</f>
        <v>0</v>
      </c>
      <c r="AW866" s="46">
        <f>I866*AO866</f>
        <v>0</v>
      </c>
      <c r="AX866" s="46">
        <f>I866*AP866</f>
        <v>0</v>
      </c>
      <c r="AY866" s="42" t="s">
        <v>814</v>
      </c>
      <c r="AZ866" s="42" t="s">
        <v>1865</v>
      </c>
      <c r="BA866" s="1" t="s">
        <v>589</v>
      </c>
      <c r="BC866" s="46">
        <f>AW866+AX866</f>
        <v>0</v>
      </c>
      <c r="BD866" s="46">
        <f>J866/(100-BE866)*100</f>
        <v>0</v>
      </c>
      <c r="BE866" s="46">
        <v>0</v>
      </c>
      <c r="BF866" s="46">
        <f>866</f>
        <v>866</v>
      </c>
      <c r="BH866" s="46">
        <f>I866*AO866</f>
        <v>0</v>
      </c>
      <c r="BI866" s="46">
        <f>I866*AP866</f>
        <v>0</v>
      </c>
      <c r="BJ866" s="46">
        <f>I866*J866</f>
        <v>0</v>
      </c>
      <c r="BK866" s="46"/>
      <c r="BL866" s="46">
        <v>18</v>
      </c>
    </row>
    <row r="867" spans="1:15" ht="15" customHeight="1">
      <c r="A867" s="10"/>
      <c r="D867" s="32" t="s">
        <v>122</v>
      </c>
      <c r="G867" s="32" t="s">
        <v>1257</v>
      </c>
      <c r="I867" s="58">
        <v>48.00000000000001</v>
      </c>
      <c r="O867" s="30"/>
    </row>
    <row r="868" spans="1:64" ht="15" customHeight="1">
      <c r="A868" s="52" t="s">
        <v>41</v>
      </c>
      <c r="B868" s="43" t="s">
        <v>853</v>
      </c>
      <c r="C868" s="43" t="s">
        <v>822</v>
      </c>
      <c r="D868" s="61" t="s">
        <v>1314</v>
      </c>
      <c r="E868" s="61"/>
      <c r="F868" s="61"/>
      <c r="G868" s="61"/>
      <c r="H868" s="43" t="s">
        <v>1604</v>
      </c>
      <c r="I868" s="46">
        <v>0.5</v>
      </c>
      <c r="J868" s="46">
        <v>0</v>
      </c>
      <c r="K868" s="46">
        <f>I868*AO868</f>
        <v>0</v>
      </c>
      <c r="L868" s="46">
        <f>I868*AP868</f>
        <v>0</v>
      </c>
      <c r="M868" s="46">
        <f>I868*J868</f>
        <v>0</v>
      </c>
      <c r="N868" s="46">
        <v>0.55</v>
      </c>
      <c r="O868" s="6" t="s">
        <v>1149</v>
      </c>
      <c r="Z868" s="46">
        <f>IF(AQ868="5",BJ868,0)</f>
        <v>0</v>
      </c>
      <c r="AB868" s="46">
        <f>IF(AQ868="1",BH868,0)</f>
        <v>0</v>
      </c>
      <c r="AC868" s="46">
        <f>IF(AQ868="1",BI868,0)</f>
        <v>0</v>
      </c>
      <c r="AD868" s="46">
        <f>IF(AQ868="7",BH868,0)</f>
        <v>0</v>
      </c>
      <c r="AE868" s="46">
        <f>IF(AQ868="7",BI868,0)</f>
        <v>0</v>
      </c>
      <c r="AF868" s="46">
        <f>IF(AQ868="2",BH868,0)</f>
        <v>0</v>
      </c>
      <c r="AG868" s="46">
        <f>IF(AQ868="2",BI868,0)</f>
        <v>0</v>
      </c>
      <c r="AH868" s="46">
        <f>IF(AQ868="0",BJ868,0)</f>
        <v>0</v>
      </c>
      <c r="AI868" s="1" t="s">
        <v>853</v>
      </c>
      <c r="AJ868" s="46">
        <f>IF(AN868=0,M868,0)</f>
        <v>0</v>
      </c>
      <c r="AK868" s="46">
        <f>IF(AN868=15,M868,0)</f>
        <v>0</v>
      </c>
      <c r="AL868" s="46">
        <f>IF(AN868=21,M868,0)</f>
        <v>0</v>
      </c>
      <c r="AN868" s="46">
        <v>21</v>
      </c>
      <c r="AO868" s="46">
        <f>J868*1</f>
        <v>0</v>
      </c>
      <c r="AP868" s="46">
        <f>J868*(1-1)</f>
        <v>0</v>
      </c>
      <c r="AQ868" s="42" t="s">
        <v>1648</v>
      </c>
      <c r="AV868" s="46">
        <f>AW868+AX868</f>
        <v>0</v>
      </c>
      <c r="AW868" s="46">
        <f>I868*AO868</f>
        <v>0</v>
      </c>
      <c r="AX868" s="46">
        <f>I868*AP868</f>
        <v>0</v>
      </c>
      <c r="AY868" s="42" t="s">
        <v>814</v>
      </c>
      <c r="AZ868" s="42" t="s">
        <v>1865</v>
      </c>
      <c r="BA868" s="1" t="s">
        <v>589</v>
      </c>
      <c r="BC868" s="46">
        <f>AW868+AX868</f>
        <v>0</v>
      </c>
      <c r="BD868" s="46">
        <f>J868/(100-BE868)*100</f>
        <v>0</v>
      </c>
      <c r="BE868" s="46">
        <v>0</v>
      </c>
      <c r="BF868" s="46">
        <f>868</f>
        <v>868</v>
      </c>
      <c r="BH868" s="46">
        <f>I868*AO868</f>
        <v>0</v>
      </c>
      <c r="BI868" s="46">
        <f>I868*AP868</f>
        <v>0</v>
      </c>
      <c r="BJ868" s="46">
        <f>I868*J868</f>
        <v>0</v>
      </c>
      <c r="BK868" s="46"/>
      <c r="BL868" s="46">
        <v>18</v>
      </c>
    </row>
    <row r="869" spans="1:15" ht="15" customHeight="1">
      <c r="A869" s="10"/>
      <c r="D869" s="32" t="s">
        <v>1846</v>
      </c>
      <c r="G869" s="32" t="s">
        <v>891</v>
      </c>
      <c r="I869" s="58">
        <v>0.5</v>
      </c>
      <c r="O869" s="30"/>
    </row>
    <row r="870" spans="1:15" ht="13.5" customHeight="1">
      <c r="A870" s="10"/>
      <c r="C870" s="36" t="s">
        <v>144</v>
      </c>
      <c r="D870" s="65" t="s">
        <v>1592</v>
      </c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7"/>
    </row>
    <row r="871" spans="1:64" ht="15" customHeight="1">
      <c r="A871" s="52" t="s">
        <v>1142</v>
      </c>
      <c r="B871" s="43" t="s">
        <v>853</v>
      </c>
      <c r="C871" s="43" t="s">
        <v>1490</v>
      </c>
      <c r="D871" s="61" t="s">
        <v>1072</v>
      </c>
      <c r="E871" s="61"/>
      <c r="F871" s="61"/>
      <c r="G871" s="61"/>
      <c r="H871" s="43" t="s">
        <v>1604</v>
      </c>
      <c r="I871" s="46">
        <v>6</v>
      </c>
      <c r="J871" s="46">
        <v>0</v>
      </c>
      <c r="K871" s="46">
        <f>I871*AO871</f>
        <v>0</v>
      </c>
      <c r="L871" s="46">
        <f>I871*AP871</f>
        <v>0</v>
      </c>
      <c r="M871" s="46">
        <f>I871*J871</f>
        <v>0</v>
      </c>
      <c r="N871" s="46">
        <v>0</v>
      </c>
      <c r="O871" s="6" t="s">
        <v>1149</v>
      </c>
      <c r="Z871" s="46">
        <f>IF(AQ871="5",BJ871,0)</f>
        <v>0</v>
      </c>
      <c r="AB871" s="46">
        <f>IF(AQ871="1",BH871,0)</f>
        <v>0</v>
      </c>
      <c r="AC871" s="46">
        <f>IF(AQ871="1",BI871,0)</f>
        <v>0</v>
      </c>
      <c r="AD871" s="46">
        <f>IF(AQ871="7",BH871,0)</f>
        <v>0</v>
      </c>
      <c r="AE871" s="46">
        <f>IF(AQ871="7",BI871,0)</f>
        <v>0</v>
      </c>
      <c r="AF871" s="46">
        <f>IF(AQ871="2",BH871,0)</f>
        <v>0</v>
      </c>
      <c r="AG871" s="46">
        <f>IF(AQ871="2",BI871,0)</f>
        <v>0</v>
      </c>
      <c r="AH871" s="46">
        <f>IF(AQ871="0",BJ871,0)</f>
        <v>0</v>
      </c>
      <c r="AI871" s="1" t="s">
        <v>853</v>
      </c>
      <c r="AJ871" s="46">
        <f>IF(AN871=0,M871,0)</f>
        <v>0</v>
      </c>
      <c r="AK871" s="46">
        <f>IF(AN871=15,M871,0)</f>
        <v>0</v>
      </c>
      <c r="AL871" s="46">
        <f>IF(AN871=21,M871,0)</f>
        <v>0</v>
      </c>
      <c r="AN871" s="46">
        <v>21</v>
      </c>
      <c r="AO871" s="46">
        <f>J871*0.306501547987616</f>
        <v>0</v>
      </c>
      <c r="AP871" s="46">
        <f>J871*(1-0.306501547987616)</f>
        <v>0</v>
      </c>
      <c r="AQ871" s="42" t="s">
        <v>1648</v>
      </c>
      <c r="AV871" s="46">
        <f>AW871+AX871</f>
        <v>0</v>
      </c>
      <c r="AW871" s="46">
        <f>I871*AO871</f>
        <v>0</v>
      </c>
      <c r="AX871" s="46">
        <f>I871*AP871</f>
        <v>0</v>
      </c>
      <c r="AY871" s="42" t="s">
        <v>814</v>
      </c>
      <c r="AZ871" s="42" t="s">
        <v>1865</v>
      </c>
      <c r="BA871" s="1" t="s">
        <v>589</v>
      </c>
      <c r="BC871" s="46">
        <f>AW871+AX871</f>
        <v>0</v>
      </c>
      <c r="BD871" s="46">
        <f>J871/(100-BE871)*100</f>
        <v>0</v>
      </c>
      <c r="BE871" s="46">
        <v>0</v>
      </c>
      <c r="BF871" s="46">
        <f>871</f>
        <v>871</v>
      </c>
      <c r="BH871" s="46">
        <f>I871*AO871</f>
        <v>0</v>
      </c>
      <c r="BI871" s="46">
        <f>I871*AP871</f>
        <v>0</v>
      </c>
      <c r="BJ871" s="46">
        <f>I871*J871</f>
        <v>0</v>
      </c>
      <c r="BK871" s="46"/>
      <c r="BL871" s="46">
        <v>18</v>
      </c>
    </row>
    <row r="872" spans="1:15" ht="15" customHeight="1">
      <c r="A872" s="10"/>
      <c r="D872" s="32" t="s">
        <v>269</v>
      </c>
      <c r="G872" s="32" t="s">
        <v>835</v>
      </c>
      <c r="I872" s="58">
        <v>6.000000000000001</v>
      </c>
      <c r="O872" s="30"/>
    </row>
    <row r="873" spans="1:15" ht="13.5" customHeight="1">
      <c r="A873" s="10"/>
      <c r="C873" s="36" t="s">
        <v>144</v>
      </c>
      <c r="D873" s="65" t="s">
        <v>52</v>
      </c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7"/>
    </row>
    <row r="874" spans="1:64" ht="15" customHeight="1">
      <c r="A874" s="52" t="s">
        <v>1473</v>
      </c>
      <c r="B874" s="43" t="s">
        <v>853</v>
      </c>
      <c r="C874" s="43" t="s">
        <v>1490</v>
      </c>
      <c r="D874" s="61" t="s">
        <v>1072</v>
      </c>
      <c r="E874" s="61"/>
      <c r="F874" s="61"/>
      <c r="G874" s="61"/>
      <c r="H874" s="43" t="s">
        <v>1604</v>
      </c>
      <c r="I874" s="46">
        <v>6</v>
      </c>
      <c r="J874" s="46">
        <v>0</v>
      </c>
      <c r="K874" s="46">
        <f>I874*AO874</f>
        <v>0</v>
      </c>
      <c r="L874" s="46">
        <f>I874*AP874</f>
        <v>0</v>
      </c>
      <c r="M874" s="46">
        <f>I874*J874</f>
        <v>0</v>
      </c>
      <c r="N874" s="46">
        <v>0</v>
      </c>
      <c r="O874" s="6" t="s">
        <v>1149</v>
      </c>
      <c r="Z874" s="46">
        <f>IF(AQ874="5",BJ874,0)</f>
        <v>0</v>
      </c>
      <c r="AB874" s="46">
        <f>IF(AQ874="1",BH874,0)</f>
        <v>0</v>
      </c>
      <c r="AC874" s="46">
        <f>IF(AQ874="1",BI874,0)</f>
        <v>0</v>
      </c>
      <c r="AD874" s="46">
        <f>IF(AQ874="7",BH874,0)</f>
        <v>0</v>
      </c>
      <c r="AE874" s="46">
        <f>IF(AQ874="7",BI874,0)</f>
        <v>0</v>
      </c>
      <c r="AF874" s="46">
        <f>IF(AQ874="2",BH874,0)</f>
        <v>0</v>
      </c>
      <c r="AG874" s="46">
        <f>IF(AQ874="2",BI874,0)</f>
        <v>0</v>
      </c>
      <c r="AH874" s="46">
        <f>IF(AQ874="0",BJ874,0)</f>
        <v>0</v>
      </c>
      <c r="AI874" s="1" t="s">
        <v>853</v>
      </c>
      <c r="AJ874" s="46">
        <f>IF(AN874=0,M874,0)</f>
        <v>0</v>
      </c>
      <c r="AK874" s="46">
        <f>IF(AN874=15,M874,0)</f>
        <v>0</v>
      </c>
      <c r="AL874" s="46">
        <f>IF(AN874=21,M874,0)</f>
        <v>0</v>
      </c>
      <c r="AN874" s="46">
        <v>21</v>
      </c>
      <c r="AO874" s="46">
        <f>J874*0.306501547987616</f>
        <v>0</v>
      </c>
      <c r="AP874" s="46">
        <f>J874*(1-0.306501547987616)</f>
        <v>0</v>
      </c>
      <c r="AQ874" s="42" t="s">
        <v>1648</v>
      </c>
      <c r="AV874" s="46">
        <f>AW874+AX874</f>
        <v>0</v>
      </c>
      <c r="AW874" s="46">
        <f>I874*AO874</f>
        <v>0</v>
      </c>
      <c r="AX874" s="46">
        <f>I874*AP874</f>
        <v>0</v>
      </c>
      <c r="AY874" s="42" t="s">
        <v>814</v>
      </c>
      <c r="AZ874" s="42" t="s">
        <v>1865</v>
      </c>
      <c r="BA874" s="1" t="s">
        <v>589</v>
      </c>
      <c r="BC874" s="46">
        <f>AW874+AX874</f>
        <v>0</v>
      </c>
      <c r="BD874" s="46">
        <f>J874/(100-BE874)*100</f>
        <v>0</v>
      </c>
      <c r="BE874" s="46">
        <v>0</v>
      </c>
      <c r="BF874" s="46">
        <f>874</f>
        <v>874</v>
      </c>
      <c r="BH874" s="46">
        <f>I874*AO874</f>
        <v>0</v>
      </c>
      <c r="BI874" s="46">
        <f>I874*AP874</f>
        <v>0</v>
      </c>
      <c r="BJ874" s="46">
        <f>I874*J874</f>
        <v>0</v>
      </c>
      <c r="BK874" s="46"/>
      <c r="BL874" s="46">
        <v>18</v>
      </c>
    </row>
    <row r="875" spans="1:15" ht="15" customHeight="1">
      <c r="A875" s="10"/>
      <c r="D875" s="32" t="s">
        <v>269</v>
      </c>
      <c r="G875" s="32" t="s">
        <v>248</v>
      </c>
      <c r="I875" s="58">
        <v>6.000000000000001</v>
      </c>
      <c r="O875" s="30"/>
    </row>
    <row r="876" spans="1:15" ht="13.5" customHeight="1">
      <c r="A876" s="10"/>
      <c r="C876" s="36" t="s">
        <v>144</v>
      </c>
      <c r="D876" s="65" t="s">
        <v>1164</v>
      </c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7"/>
    </row>
    <row r="877" spans="1:64" ht="15" customHeight="1">
      <c r="A877" s="52" t="s">
        <v>324</v>
      </c>
      <c r="B877" s="43" t="s">
        <v>853</v>
      </c>
      <c r="C877" s="43" t="s">
        <v>1490</v>
      </c>
      <c r="D877" s="61" t="s">
        <v>1072</v>
      </c>
      <c r="E877" s="61"/>
      <c r="F877" s="61"/>
      <c r="G877" s="61"/>
      <c r="H877" s="43" t="s">
        <v>1604</v>
      </c>
      <c r="I877" s="46">
        <v>6</v>
      </c>
      <c r="J877" s="46">
        <v>0</v>
      </c>
      <c r="K877" s="46">
        <f>I877*AO877</f>
        <v>0</v>
      </c>
      <c r="L877" s="46">
        <f>I877*AP877</f>
        <v>0</v>
      </c>
      <c r="M877" s="46">
        <f>I877*J877</f>
        <v>0</v>
      </c>
      <c r="N877" s="46">
        <v>0</v>
      </c>
      <c r="O877" s="6" t="s">
        <v>1149</v>
      </c>
      <c r="Z877" s="46">
        <f>IF(AQ877="5",BJ877,0)</f>
        <v>0</v>
      </c>
      <c r="AB877" s="46">
        <f>IF(AQ877="1",BH877,0)</f>
        <v>0</v>
      </c>
      <c r="AC877" s="46">
        <f>IF(AQ877="1",BI877,0)</f>
        <v>0</v>
      </c>
      <c r="AD877" s="46">
        <f>IF(AQ877="7",BH877,0)</f>
        <v>0</v>
      </c>
      <c r="AE877" s="46">
        <f>IF(AQ877="7",BI877,0)</f>
        <v>0</v>
      </c>
      <c r="AF877" s="46">
        <f>IF(AQ877="2",BH877,0)</f>
        <v>0</v>
      </c>
      <c r="AG877" s="46">
        <f>IF(AQ877="2",BI877,0)</f>
        <v>0</v>
      </c>
      <c r="AH877" s="46">
        <f>IF(AQ877="0",BJ877,0)</f>
        <v>0</v>
      </c>
      <c r="AI877" s="1" t="s">
        <v>853</v>
      </c>
      <c r="AJ877" s="46">
        <f>IF(AN877=0,M877,0)</f>
        <v>0</v>
      </c>
      <c r="AK877" s="46">
        <f>IF(AN877=15,M877,0)</f>
        <v>0</v>
      </c>
      <c r="AL877" s="46">
        <f>IF(AN877=21,M877,0)</f>
        <v>0</v>
      </c>
      <c r="AN877" s="46">
        <v>21</v>
      </c>
      <c r="AO877" s="46">
        <f>J877*0.306501547987616</f>
        <v>0</v>
      </c>
      <c r="AP877" s="46">
        <f>J877*(1-0.306501547987616)</f>
        <v>0</v>
      </c>
      <c r="AQ877" s="42" t="s">
        <v>1648</v>
      </c>
      <c r="AV877" s="46">
        <f>AW877+AX877</f>
        <v>0</v>
      </c>
      <c r="AW877" s="46">
        <f>I877*AO877</f>
        <v>0</v>
      </c>
      <c r="AX877" s="46">
        <f>I877*AP877</f>
        <v>0</v>
      </c>
      <c r="AY877" s="42" t="s">
        <v>814</v>
      </c>
      <c r="AZ877" s="42" t="s">
        <v>1865</v>
      </c>
      <c r="BA877" s="1" t="s">
        <v>589</v>
      </c>
      <c r="BC877" s="46">
        <f>AW877+AX877</f>
        <v>0</v>
      </c>
      <c r="BD877" s="46">
        <f>J877/(100-BE877)*100</f>
        <v>0</v>
      </c>
      <c r="BE877" s="46">
        <v>0</v>
      </c>
      <c r="BF877" s="46">
        <f>877</f>
        <v>877</v>
      </c>
      <c r="BH877" s="46">
        <f>I877*AO877</f>
        <v>0</v>
      </c>
      <c r="BI877" s="46">
        <f>I877*AP877</f>
        <v>0</v>
      </c>
      <c r="BJ877" s="46">
        <f>I877*J877</f>
        <v>0</v>
      </c>
      <c r="BK877" s="46"/>
      <c r="BL877" s="46">
        <v>18</v>
      </c>
    </row>
    <row r="878" spans="1:15" ht="15" customHeight="1">
      <c r="A878" s="10"/>
      <c r="D878" s="32" t="s">
        <v>269</v>
      </c>
      <c r="G878" s="32" t="s">
        <v>973</v>
      </c>
      <c r="I878" s="58">
        <v>6.000000000000001</v>
      </c>
      <c r="O878" s="30"/>
    </row>
    <row r="879" spans="1:15" ht="13.5" customHeight="1">
      <c r="A879" s="10"/>
      <c r="C879" s="36" t="s">
        <v>144</v>
      </c>
      <c r="D879" s="65" t="s">
        <v>369</v>
      </c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7"/>
    </row>
    <row r="880" spans="1:64" ht="15" customHeight="1">
      <c r="A880" s="52" t="s">
        <v>1442</v>
      </c>
      <c r="B880" s="43" t="s">
        <v>853</v>
      </c>
      <c r="C880" s="43" t="s">
        <v>1240</v>
      </c>
      <c r="D880" s="61" t="s">
        <v>134</v>
      </c>
      <c r="E880" s="61"/>
      <c r="F880" s="61"/>
      <c r="G880" s="61"/>
      <c r="H880" s="43" t="s">
        <v>1604</v>
      </c>
      <c r="I880" s="46">
        <v>24</v>
      </c>
      <c r="J880" s="46">
        <v>0</v>
      </c>
      <c r="K880" s="46">
        <f>I880*AO880</f>
        <v>0</v>
      </c>
      <c r="L880" s="46">
        <f>I880*AP880</f>
        <v>0</v>
      </c>
      <c r="M880" s="46">
        <f>I880*J880</f>
        <v>0</v>
      </c>
      <c r="N880" s="46">
        <v>0</v>
      </c>
      <c r="O880" s="6" t="s">
        <v>1149</v>
      </c>
      <c r="Z880" s="46">
        <f>IF(AQ880="5",BJ880,0)</f>
        <v>0</v>
      </c>
      <c r="AB880" s="46">
        <f>IF(AQ880="1",BH880,0)</f>
        <v>0</v>
      </c>
      <c r="AC880" s="46">
        <f>IF(AQ880="1",BI880,0)</f>
        <v>0</v>
      </c>
      <c r="AD880" s="46">
        <f>IF(AQ880="7",BH880,0)</f>
        <v>0</v>
      </c>
      <c r="AE880" s="46">
        <f>IF(AQ880="7",BI880,0)</f>
        <v>0</v>
      </c>
      <c r="AF880" s="46">
        <f>IF(AQ880="2",BH880,0)</f>
        <v>0</v>
      </c>
      <c r="AG880" s="46">
        <f>IF(AQ880="2",BI880,0)</f>
        <v>0</v>
      </c>
      <c r="AH880" s="46">
        <f>IF(AQ880="0",BJ880,0)</f>
        <v>0</v>
      </c>
      <c r="AI880" s="1" t="s">
        <v>853</v>
      </c>
      <c r="AJ880" s="46">
        <f>IF(AN880=0,M880,0)</f>
        <v>0</v>
      </c>
      <c r="AK880" s="46">
        <f>IF(AN880=15,M880,0)</f>
        <v>0</v>
      </c>
      <c r="AL880" s="46">
        <f>IF(AN880=21,M880,0)</f>
        <v>0</v>
      </c>
      <c r="AN880" s="46">
        <v>21</v>
      </c>
      <c r="AO880" s="46">
        <f>J880*0</f>
        <v>0</v>
      </c>
      <c r="AP880" s="46">
        <f>J880*(1-0)</f>
        <v>0</v>
      </c>
      <c r="AQ880" s="42" t="s">
        <v>1648</v>
      </c>
      <c r="AV880" s="46">
        <f>AW880+AX880</f>
        <v>0</v>
      </c>
      <c r="AW880" s="46">
        <f>I880*AO880</f>
        <v>0</v>
      </c>
      <c r="AX880" s="46">
        <f>I880*AP880</f>
        <v>0</v>
      </c>
      <c r="AY880" s="42" t="s">
        <v>814</v>
      </c>
      <c r="AZ880" s="42" t="s">
        <v>1865</v>
      </c>
      <c r="BA880" s="1" t="s">
        <v>589</v>
      </c>
      <c r="BC880" s="46">
        <f>AW880+AX880</f>
        <v>0</v>
      </c>
      <c r="BD880" s="46">
        <f>J880/(100-BE880)*100</f>
        <v>0</v>
      </c>
      <c r="BE880" s="46">
        <v>0</v>
      </c>
      <c r="BF880" s="46">
        <f>880</f>
        <v>880</v>
      </c>
      <c r="BH880" s="46">
        <f>I880*AO880</f>
        <v>0</v>
      </c>
      <c r="BI880" s="46">
        <f>I880*AP880</f>
        <v>0</v>
      </c>
      <c r="BJ880" s="46">
        <f>I880*J880</f>
        <v>0</v>
      </c>
      <c r="BK880" s="46"/>
      <c r="BL880" s="46">
        <v>18</v>
      </c>
    </row>
    <row r="881" spans="1:15" ht="15" customHeight="1">
      <c r="A881" s="10"/>
      <c r="D881" s="32" t="s">
        <v>160</v>
      </c>
      <c r="G881" s="32" t="s">
        <v>924</v>
      </c>
      <c r="I881" s="58">
        <v>24.000000000000004</v>
      </c>
      <c r="O881" s="30"/>
    </row>
    <row r="882" spans="1:64" ht="15" customHeight="1">
      <c r="A882" s="52" t="s">
        <v>1703</v>
      </c>
      <c r="B882" s="43" t="s">
        <v>853</v>
      </c>
      <c r="C882" s="43" t="s">
        <v>931</v>
      </c>
      <c r="D882" s="61" t="s">
        <v>672</v>
      </c>
      <c r="E882" s="61"/>
      <c r="F882" s="61"/>
      <c r="G882" s="61"/>
      <c r="H882" s="43" t="s">
        <v>639</v>
      </c>
      <c r="I882" s="46">
        <v>30</v>
      </c>
      <c r="J882" s="46">
        <v>0</v>
      </c>
      <c r="K882" s="46">
        <f>I882*AO882</f>
        <v>0</v>
      </c>
      <c r="L882" s="46">
        <f>I882*AP882</f>
        <v>0</v>
      </c>
      <c r="M882" s="46">
        <f>I882*J882</f>
        <v>0</v>
      </c>
      <c r="N882" s="46">
        <v>0</v>
      </c>
      <c r="O882" s="6" t="s">
        <v>1149</v>
      </c>
      <c r="Z882" s="46">
        <f>IF(AQ882="5",BJ882,0)</f>
        <v>0</v>
      </c>
      <c r="AB882" s="46">
        <f>IF(AQ882="1",BH882,0)</f>
        <v>0</v>
      </c>
      <c r="AC882" s="46">
        <f>IF(AQ882="1",BI882,0)</f>
        <v>0</v>
      </c>
      <c r="AD882" s="46">
        <f>IF(AQ882="7",BH882,0)</f>
        <v>0</v>
      </c>
      <c r="AE882" s="46">
        <f>IF(AQ882="7",BI882,0)</f>
        <v>0</v>
      </c>
      <c r="AF882" s="46">
        <f>IF(AQ882="2",BH882,0)</f>
        <v>0</v>
      </c>
      <c r="AG882" s="46">
        <f>IF(AQ882="2",BI882,0)</f>
        <v>0</v>
      </c>
      <c r="AH882" s="46">
        <f>IF(AQ882="0",BJ882,0)</f>
        <v>0</v>
      </c>
      <c r="AI882" s="1" t="s">
        <v>853</v>
      </c>
      <c r="AJ882" s="46">
        <f>IF(AN882=0,M882,0)</f>
        <v>0</v>
      </c>
      <c r="AK882" s="46">
        <f>IF(AN882=15,M882,0)</f>
        <v>0</v>
      </c>
      <c r="AL882" s="46">
        <f>IF(AN882=21,M882,0)</f>
        <v>0</v>
      </c>
      <c r="AN882" s="46">
        <v>21</v>
      </c>
      <c r="AO882" s="46">
        <f>J882*1</f>
        <v>0</v>
      </c>
      <c r="AP882" s="46">
        <f>J882*(1-1)</f>
        <v>0</v>
      </c>
      <c r="AQ882" s="42" t="s">
        <v>1648</v>
      </c>
      <c r="AV882" s="46">
        <f>AW882+AX882</f>
        <v>0</v>
      </c>
      <c r="AW882" s="46">
        <f>I882*AO882</f>
        <v>0</v>
      </c>
      <c r="AX882" s="46">
        <f>I882*AP882</f>
        <v>0</v>
      </c>
      <c r="AY882" s="42" t="s">
        <v>814</v>
      </c>
      <c r="AZ882" s="42" t="s">
        <v>1865</v>
      </c>
      <c r="BA882" s="1" t="s">
        <v>589</v>
      </c>
      <c r="BC882" s="46">
        <f>AW882+AX882</f>
        <v>0</v>
      </c>
      <c r="BD882" s="46">
        <f>J882/(100-BE882)*100</f>
        <v>0</v>
      </c>
      <c r="BE882" s="46">
        <v>0</v>
      </c>
      <c r="BF882" s="46">
        <f>882</f>
        <v>882</v>
      </c>
      <c r="BH882" s="46">
        <f>I882*AO882</f>
        <v>0</v>
      </c>
      <c r="BI882" s="46">
        <f>I882*AP882</f>
        <v>0</v>
      </c>
      <c r="BJ882" s="46">
        <f>I882*J882</f>
        <v>0</v>
      </c>
      <c r="BK882" s="46"/>
      <c r="BL882" s="46">
        <v>18</v>
      </c>
    </row>
    <row r="883" spans="1:64" ht="15" customHeight="1">
      <c r="A883" s="52" t="s">
        <v>1348</v>
      </c>
      <c r="B883" s="43" t="s">
        <v>853</v>
      </c>
      <c r="C883" s="43" t="s">
        <v>1490</v>
      </c>
      <c r="D883" s="61" t="s">
        <v>1072</v>
      </c>
      <c r="E883" s="61"/>
      <c r="F883" s="61"/>
      <c r="G883" s="61"/>
      <c r="H883" s="43" t="s">
        <v>1604</v>
      </c>
      <c r="I883" s="46">
        <v>6</v>
      </c>
      <c r="J883" s="46">
        <v>0</v>
      </c>
      <c r="K883" s="46">
        <f>I883*AO883</f>
        <v>0</v>
      </c>
      <c r="L883" s="46">
        <f>I883*AP883</f>
        <v>0</v>
      </c>
      <c r="M883" s="46">
        <f>I883*J883</f>
        <v>0</v>
      </c>
      <c r="N883" s="46">
        <v>0</v>
      </c>
      <c r="O883" s="6" t="s">
        <v>1149</v>
      </c>
      <c r="Z883" s="46">
        <f>IF(AQ883="5",BJ883,0)</f>
        <v>0</v>
      </c>
      <c r="AB883" s="46">
        <f>IF(AQ883="1",BH883,0)</f>
        <v>0</v>
      </c>
      <c r="AC883" s="46">
        <f>IF(AQ883="1",BI883,0)</f>
        <v>0</v>
      </c>
      <c r="AD883" s="46">
        <f>IF(AQ883="7",BH883,0)</f>
        <v>0</v>
      </c>
      <c r="AE883" s="46">
        <f>IF(AQ883="7",BI883,0)</f>
        <v>0</v>
      </c>
      <c r="AF883" s="46">
        <f>IF(AQ883="2",BH883,0)</f>
        <v>0</v>
      </c>
      <c r="AG883" s="46">
        <f>IF(AQ883="2",BI883,0)</f>
        <v>0</v>
      </c>
      <c r="AH883" s="46">
        <f>IF(AQ883="0",BJ883,0)</f>
        <v>0</v>
      </c>
      <c r="AI883" s="1" t="s">
        <v>853</v>
      </c>
      <c r="AJ883" s="46">
        <f>IF(AN883=0,M883,0)</f>
        <v>0</v>
      </c>
      <c r="AK883" s="46">
        <f>IF(AN883=15,M883,0)</f>
        <v>0</v>
      </c>
      <c r="AL883" s="46">
        <f>IF(AN883=21,M883,0)</f>
        <v>0</v>
      </c>
      <c r="AN883" s="46">
        <v>21</v>
      </c>
      <c r="AO883" s="46">
        <f>J883*0.306501547987616</f>
        <v>0</v>
      </c>
      <c r="AP883" s="46">
        <f>J883*(1-0.306501547987616)</f>
        <v>0</v>
      </c>
      <c r="AQ883" s="42" t="s">
        <v>1648</v>
      </c>
      <c r="AV883" s="46">
        <f>AW883+AX883</f>
        <v>0</v>
      </c>
      <c r="AW883" s="46">
        <f>I883*AO883</f>
        <v>0</v>
      </c>
      <c r="AX883" s="46">
        <f>I883*AP883</f>
        <v>0</v>
      </c>
      <c r="AY883" s="42" t="s">
        <v>814</v>
      </c>
      <c r="AZ883" s="42" t="s">
        <v>1865</v>
      </c>
      <c r="BA883" s="1" t="s">
        <v>589</v>
      </c>
      <c r="BC883" s="46">
        <f>AW883+AX883</f>
        <v>0</v>
      </c>
      <c r="BD883" s="46">
        <f>J883/(100-BE883)*100</f>
        <v>0</v>
      </c>
      <c r="BE883" s="46">
        <v>0</v>
      </c>
      <c r="BF883" s="46">
        <f>883</f>
        <v>883</v>
      </c>
      <c r="BH883" s="46">
        <f>I883*AO883</f>
        <v>0</v>
      </c>
      <c r="BI883" s="46">
        <f>I883*AP883</f>
        <v>0</v>
      </c>
      <c r="BJ883" s="46">
        <f>I883*J883</f>
        <v>0</v>
      </c>
      <c r="BK883" s="46"/>
      <c r="BL883" s="46">
        <v>18</v>
      </c>
    </row>
    <row r="884" spans="1:15" ht="15" customHeight="1">
      <c r="A884" s="10"/>
      <c r="D884" s="32" t="s">
        <v>269</v>
      </c>
      <c r="G884" s="32" t="s">
        <v>1163</v>
      </c>
      <c r="I884" s="58">
        <v>6.000000000000001</v>
      </c>
      <c r="O884" s="30"/>
    </row>
    <row r="885" spans="1:15" ht="13.5" customHeight="1">
      <c r="A885" s="10"/>
      <c r="C885" s="36" t="s">
        <v>144</v>
      </c>
      <c r="D885" s="65" t="s">
        <v>575</v>
      </c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7"/>
    </row>
    <row r="886" spans="1:47" ht="15" customHeight="1">
      <c r="A886" s="3" t="s">
        <v>1163</v>
      </c>
      <c r="B886" s="9" t="s">
        <v>853</v>
      </c>
      <c r="C886" s="9" t="s">
        <v>1184</v>
      </c>
      <c r="D886" s="64" t="s">
        <v>563</v>
      </c>
      <c r="E886" s="64"/>
      <c r="F886" s="64"/>
      <c r="G886" s="64"/>
      <c r="H886" s="41" t="s">
        <v>1537</v>
      </c>
      <c r="I886" s="41" t="s">
        <v>1537</v>
      </c>
      <c r="J886" s="41" t="s">
        <v>1537</v>
      </c>
      <c r="K886" s="50">
        <f>SUM(K887:K889)</f>
        <v>0</v>
      </c>
      <c r="L886" s="50">
        <f>SUM(L887:L889)</f>
        <v>0</v>
      </c>
      <c r="M886" s="50">
        <f>SUM(M887:M889)</f>
        <v>0</v>
      </c>
      <c r="N886" s="1" t="s">
        <v>1163</v>
      </c>
      <c r="O886" s="45" t="s">
        <v>1163</v>
      </c>
      <c r="AI886" s="1" t="s">
        <v>853</v>
      </c>
      <c r="AS886" s="50">
        <f>SUM(AJ887:AJ889)</f>
        <v>0</v>
      </c>
      <c r="AT886" s="50">
        <f>SUM(AK887:AK889)</f>
        <v>0</v>
      </c>
      <c r="AU886" s="50">
        <f>SUM(AL887:AL889)</f>
        <v>0</v>
      </c>
    </row>
    <row r="887" spans="1:64" ht="15" customHeight="1">
      <c r="A887" s="52" t="s">
        <v>568</v>
      </c>
      <c r="B887" s="43" t="s">
        <v>853</v>
      </c>
      <c r="C887" s="43" t="s">
        <v>652</v>
      </c>
      <c r="D887" s="61" t="s">
        <v>1748</v>
      </c>
      <c r="E887" s="61"/>
      <c r="F887" s="61"/>
      <c r="G887" s="61"/>
      <c r="H887" s="43" t="s">
        <v>392</v>
      </c>
      <c r="I887" s="46">
        <v>48</v>
      </c>
      <c r="J887" s="46">
        <v>0</v>
      </c>
      <c r="K887" s="46">
        <f>I887*AO887</f>
        <v>0</v>
      </c>
      <c r="L887" s="46">
        <f>I887*AP887</f>
        <v>0</v>
      </c>
      <c r="M887" s="46">
        <f>I887*J887</f>
        <v>0</v>
      </c>
      <c r="N887" s="46">
        <v>0</v>
      </c>
      <c r="O887" s="6" t="s">
        <v>1149</v>
      </c>
      <c r="Z887" s="46">
        <f>IF(AQ887="5",BJ887,0)</f>
        <v>0</v>
      </c>
      <c r="AB887" s="46">
        <f>IF(AQ887="1",BH887,0)</f>
        <v>0</v>
      </c>
      <c r="AC887" s="46">
        <f>IF(AQ887="1",BI887,0)</f>
        <v>0</v>
      </c>
      <c r="AD887" s="46">
        <f>IF(AQ887="7",BH887,0)</f>
        <v>0</v>
      </c>
      <c r="AE887" s="46">
        <f>IF(AQ887="7",BI887,0)</f>
        <v>0</v>
      </c>
      <c r="AF887" s="46">
        <f>IF(AQ887="2",BH887,0)</f>
        <v>0</v>
      </c>
      <c r="AG887" s="46">
        <f>IF(AQ887="2",BI887,0)</f>
        <v>0</v>
      </c>
      <c r="AH887" s="46">
        <f>IF(AQ887="0",BJ887,0)</f>
        <v>0</v>
      </c>
      <c r="AI887" s="1" t="s">
        <v>853</v>
      </c>
      <c r="AJ887" s="46">
        <f>IF(AN887=0,M887,0)</f>
        <v>0</v>
      </c>
      <c r="AK887" s="46">
        <f>IF(AN887=15,M887,0)</f>
        <v>0</v>
      </c>
      <c r="AL887" s="46">
        <f>IF(AN887=21,M887,0)</f>
        <v>0</v>
      </c>
      <c r="AN887" s="46">
        <v>21</v>
      </c>
      <c r="AO887" s="46">
        <f>J887*0</f>
        <v>0</v>
      </c>
      <c r="AP887" s="46">
        <f>J887*(1-0)</f>
        <v>0</v>
      </c>
      <c r="AQ887" s="42" t="s">
        <v>1648</v>
      </c>
      <c r="AV887" s="46">
        <f>AW887+AX887</f>
        <v>0</v>
      </c>
      <c r="AW887" s="46">
        <f>I887*AO887</f>
        <v>0</v>
      </c>
      <c r="AX887" s="46">
        <f>I887*AP887</f>
        <v>0</v>
      </c>
      <c r="AY887" s="42" t="s">
        <v>1028</v>
      </c>
      <c r="AZ887" s="42" t="s">
        <v>830</v>
      </c>
      <c r="BA887" s="1" t="s">
        <v>589</v>
      </c>
      <c r="BC887" s="46">
        <f>AW887+AX887</f>
        <v>0</v>
      </c>
      <c r="BD887" s="46">
        <f>J887/(100-BE887)*100</f>
        <v>0</v>
      </c>
      <c r="BE887" s="46">
        <v>0</v>
      </c>
      <c r="BF887" s="46">
        <f>887</f>
        <v>887</v>
      </c>
      <c r="BH887" s="46">
        <f>I887*AO887</f>
        <v>0</v>
      </c>
      <c r="BI887" s="46">
        <f>I887*AP887</f>
        <v>0</v>
      </c>
      <c r="BJ887" s="46">
        <f>I887*J887</f>
        <v>0</v>
      </c>
      <c r="BK887" s="46"/>
      <c r="BL887" s="46">
        <v>21</v>
      </c>
    </row>
    <row r="888" spans="1:15" ht="15" customHeight="1">
      <c r="A888" s="10"/>
      <c r="D888" s="32" t="s">
        <v>122</v>
      </c>
      <c r="G888" s="32" t="s">
        <v>1163</v>
      </c>
      <c r="I888" s="58">
        <v>48.00000000000001</v>
      </c>
      <c r="O888" s="30"/>
    </row>
    <row r="889" spans="1:64" ht="15" customHeight="1">
      <c r="A889" s="52" t="s">
        <v>1552</v>
      </c>
      <c r="B889" s="43" t="s">
        <v>853</v>
      </c>
      <c r="C889" s="43" t="s">
        <v>566</v>
      </c>
      <c r="D889" s="61" t="s">
        <v>1432</v>
      </c>
      <c r="E889" s="61"/>
      <c r="F889" s="61"/>
      <c r="G889" s="61"/>
      <c r="H889" s="43" t="s">
        <v>1629</v>
      </c>
      <c r="I889" s="46">
        <v>26.5</v>
      </c>
      <c r="J889" s="46">
        <v>0</v>
      </c>
      <c r="K889" s="46">
        <f>I889*AO889</f>
        <v>0</v>
      </c>
      <c r="L889" s="46">
        <f>I889*AP889</f>
        <v>0</v>
      </c>
      <c r="M889" s="46">
        <f>I889*J889</f>
        <v>0</v>
      </c>
      <c r="N889" s="46">
        <v>4E-05</v>
      </c>
      <c r="O889" s="6" t="s">
        <v>1149</v>
      </c>
      <c r="Z889" s="46">
        <f>IF(AQ889="5",BJ889,0)</f>
        <v>0</v>
      </c>
      <c r="AB889" s="46">
        <f>IF(AQ889="1",BH889,0)</f>
        <v>0</v>
      </c>
      <c r="AC889" s="46">
        <f>IF(AQ889="1",BI889,0)</f>
        <v>0</v>
      </c>
      <c r="AD889" s="46">
        <f>IF(AQ889="7",BH889,0)</f>
        <v>0</v>
      </c>
      <c r="AE889" s="46">
        <f>IF(AQ889="7",BI889,0)</f>
        <v>0</v>
      </c>
      <c r="AF889" s="46">
        <f>IF(AQ889="2",BH889,0)</f>
        <v>0</v>
      </c>
      <c r="AG889" s="46">
        <f>IF(AQ889="2",BI889,0)</f>
        <v>0</v>
      </c>
      <c r="AH889" s="46">
        <f>IF(AQ889="0",BJ889,0)</f>
        <v>0</v>
      </c>
      <c r="AI889" s="1" t="s">
        <v>853</v>
      </c>
      <c r="AJ889" s="46">
        <f>IF(AN889=0,M889,0)</f>
        <v>0</v>
      </c>
      <c r="AK889" s="46">
        <f>IF(AN889=15,M889,0)</f>
        <v>0</v>
      </c>
      <c r="AL889" s="46">
        <f>IF(AN889=21,M889,0)</f>
        <v>0</v>
      </c>
      <c r="AN889" s="46">
        <v>21</v>
      </c>
      <c r="AO889" s="46">
        <f>J889*0.0268707482993197</f>
        <v>0</v>
      </c>
      <c r="AP889" s="46">
        <f>J889*(1-0.0268707482993197)</f>
        <v>0</v>
      </c>
      <c r="AQ889" s="42" t="s">
        <v>1648</v>
      </c>
      <c r="AV889" s="46">
        <f>AW889+AX889</f>
        <v>0</v>
      </c>
      <c r="AW889" s="46">
        <f>I889*AO889</f>
        <v>0</v>
      </c>
      <c r="AX889" s="46">
        <f>I889*AP889</f>
        <v>0</v>
      </c>
      <c r="AY889" s="42" t="s">
        <v>1028</v>
      </c>
      <c r="AZ889" s="42" t="s">
        <v>830</v>
      </c>
      <c r="BA889" s="1" t="s">
        <v>589</v>
      </c>
      <c r="BC889" s="46">
        <f>AW889+AX889</f>
        <v>0</v>
      </c>
      <c r="BD889" s="46">
        <f>J889/(100-BE889)*100</f>
        <v>0</v>
      </c>
      <c r="BE889" s="46">
        <v>0</v>
      </c>
      <c r="BF889" s="46">
        <f>889</f>
        <v>889</v>
      </c>
      <c r="BH889" s="46">
        <f>I889*AO889</f>
        <v>0</v>
      </c>
      <c r="BI889" s="46">
        <f>I889*AP889</f>
        <v>0</v>
      </c>
      <c r="BJ889" s="46">
        <f>I889*J889</f>
        <v>0</v>
      </c>
      <c r="BK889" s="46"/>
      <c r="BL889" s="46">
        <v>21</v>
      </c>
    </row>
    <row r="890" spans="1:15" ht="15" customHeight="1">
      <c r="A890" s="10"/>
      <c r="D890" s="32" t="s">
        <v>808</v>
      </c>
      <c r="G890" s="32" t="s">
        <v>1163</v>
      </c>
      <c r="I890" s="58">
        <v>26.500000000000004</v>
      </c>
      <c r="O890" s="30"/>
    </row>
    <row r="891" spans="1:47" ht="15" customHeight="1">
      <c r="A891" s="3" t="s">
        <v>1163</v>
      </c>
      <c r="B891" s="9" t="s">
        <v>853</v>
      </c>
      <c r="C891" s="9" t="s">
        <v>298</v>
      </c>
      <c r="D891" s="64" t="s">
        <v>885</v>
      </c>
      <c r="E891" s="64"/>
      <c r="F891" s="64"/>
      <c r="G891" s="64"/>
      <c r="H891" s="41" t="s">
        <v>1537</v>
      </c>
      <c r="I891" s="41" t="s">
        <v>1537</v>
      </c>
      <c r="J891" s="41" t="s">
        <v>1537</v>
      </c>
      <c r="K891" s="50">
        <f>SUM(K892:K892)</f>
        <v>0</v>
      </c>
      <c r="L891" s="50">
        <f>SUM(L892:L892)</f>
        <v>0</v>
      </c>
      <c r="M891" s="50">
        <f>SUM(M892:M892)</f>
        <v>0</v>
      </c>
      <c r="N891" s="1" t="s">
        <v>1163</v>
      </c>
      <c r="O891" s="45" t="s">
        <v>1163</v>
      </c>
      <c r="AI891" s="1" t="s">
        <v>853</v>
      </c>
      <c r="AS891" s="50">
        <f>SUM(AJ892:AJ892)</f>
        <v>0</v>
      </c>
      <c r="AT891" s="50">
        <f>SUM(AK892:AK892)</f>
        <v>0</v>
      </c>
      <c r="AU891" s="50">
        <f>SUM(AL892:AL892)</f>
        <v>0</v>
      </c>
    </row>
    <row r="892" spans="1:64" ht="15" customHeight="1">
      <c r="A892" s="52" t="s">
        <v>1472</v>
      </c>
      <c r="B892" s="43" t="s">
        <v>853</v>
      </c>
      <c r="C892" s="43" t="s">
        <v>927</v>
      </c>
      <c r="D892" s="61" t="s">
        <v>843</v>
      </c>
      <c r="E892" s="61"/>
      <c r="F892" s="61"/>
      <c r="G892" s="61"/>
      <c r="H892" s="43" t="s">
        <v>965</v>
      </c>
      <c r="I892" s="46">
        <v>10</v>
      </c>
      <c r="J892" s="46">
        <v>0</v>
      </c>
      <c r="K892" s="46">
        <f>I892*AO892</f>
        <v>0</v>
      </c>
      <c r="L892" s="46">
        <f>I892*AP892</f>
        <v>0</v>
      </c>
      <c r="M892" s="46">
        <f>I892*J892</f>
        <v>0</v>
      </c>
      <c r="N892" s="46">
        <v>0</v>
      </c>
      <c r="O892" s="6" t="s">
        <v>1149</v>
      </c>
      <c r="Z892" s="46">
        <f>IF(AQ892="5",BJ892,0)</f>
        <v>0</v>
      </c>
      <c r="AB892" s="46">
        <f>IF(AQ892="1",BH892,0)</f>
        <v>0</v>
      </c>
      <c r="AC892" s="46">
        <f>IF(AQ892="1",BI892,0)</f>
        <v>0</v>
      </c>
      <c r="AD892" s="46">
        <f>IF(AQ892="7",BH892,0)</f>
        <v>0</v>
      </c>
      <c r="AE892" s="46">
        <f>IF(AQ892="7",BI892,0)</f>
        <v>0</v>
      </c>
      <c r="AF892" s="46">
        <f>IF(AQ892="2",BH892,0)</f>
        <v>0</v>
      </c>
      <c r="AG892" s="46">
        <f>IF(AQ892="2",BI892,0)</f>
        <v>0</v>
      </c>
      <c r="AH892" s="46">
        <f>IF(AQ892="0",BJ892,0)</f>
        <v>0</v>
      </c>
      <c r="AI892" s="1" t="s">
        <v>853</v>
      </c>
      <c r="AJ892" s="46">
        <f>IF(AN892=0,M892,0)</f>
        <v>0</v>
      </c>
      <c r="AK892" s="46">
        <f>IF(AN892=15,M892,0)</f>
        <v>0</v>
      </c>
      <c r="AL892" s="46">
        <f>IF(AN892=21,M892,0)</f>
        <v>0</v>
      </c>
      <c r="AN892" s="46">
        <v>21</v>
      </c>
      <c r="AO892" s="46">
        <f>J892*0</f>
        <v>0</v>
      </c>
      <c r="AP892" s="46">
        <f>J892*(1-0)</f>
        <v>0</v>
      </c>
      <c r="AQ892" s="42" t="s">
        <v>1648</v>
      </c>
      <c r="AV892" s="46">
        <f>AW892+AX892</f>
        <v>0</v>
      </c>
      <c r="AW892" s="46">
        <f>I892*AO892</f>
        <v>0</v>
      </c>
      <c r="AX892" s="46">
        <f>I892*AP892</f>
        <v>0</v>
      </c>
      <c r="AY892" s="42" t="s">
        <v>942</v>
      </c>
      <c r="AZ892" s="42" t="s">
        <v>830</v>
      </c>
      <c r="BA892" s="1" t="s">
        <v>589</v>
      </c>
      <c r="BC892" s="46">
        <f>AW892+AX892</f>
        <v>0</v>
      </c>
      <c r="BD892" s="46">
        <f>J892/(100-BE892)*100</f>
        <v>0</v>
      </c>
      <c r="BE892" s="46">
        <v>0</v>
      </c>
      <c r="BF892" s="46">
        <f>892</f>
        <v>892</v>
      </c>
      <c r="BH892" s="46">
        <f>I892*AO892</f>
        <v>0</v>
      </c>
      <c r="BI892" s="46">
        <f>I892*AP892</f>
        <v>0</v>
      </c>
      <c r="BJ892" s="46">
        <f>I892*J892</f>
        <v>0</v>
      </c>
      <c r="BK892" s="46"/>
      <c r="BL892" s="46">
        <v>231</v>
      </c>
    </row>
    <row r="893" spans="1:15" ht="15" customHeight="1">
      <c r="A893" s="10"/>
      <c r="D893" s="32" t="s">
        <v>965</v>
      </c>
      <c r="G893" s="32" t="s">
        <v>1163</v>
      </c>
      <c r="I893" s="58">
        <v>10</v>
      </c>
      <c r="O893" s="30"/>
    </row>
    <row r="894" spans="1:47" ht="15" customHeight="1">
      <c r="A894" s="3" t="s">
        <v>1163</v>
      </c>
      <c r="B894" s="9" t="s">
        <v>853</v>
      </c>
      <c r="C894" s="9" t="s">
        <v>1754</v>
      </c>
      <c r="D894" s="64" t="s">
        <v>1089</v>
      </c>
      <c r="E894" s="64"/>
      <c r="F894" s="64"/>
      <c r="G894" s="64"/>
      <c r="H894" s="41" t="s">
        <v>1537</v>
      </c>
      <c r="I894" s="41" t="s">
        <v>1537</v>
      </c>
      <c r="J894" s="41" t="s">
        <v>1537</v>
      </c>
      <c r="K894" s="50">
        <f>SUM(K895:K895)</f>
        <v>0</v>
      </c>
      <c r="L894" s="50">
        <f>SUM(L895:L895)</f>
        <v>0</v>
      </c>
      <c r="M894" s="50">
        <f>SUM(M895:M895)</f>
        <v>0</v>
      </c>
      <c r="N894" s="1" t="s">
        <v>1163</v>
      </c>
      <c r="O894" s="45" t="s">
        <v>1163</v>
      </c>
      <c r="AI894" s="1" t="s">
        <v>853</v>
      </c>
      <c r="AS894" s="50">
        <f>SUM(AJ895:AJ895)</f>
        <v>0</v>
      </c>
      <c r="AT894" s="50">
        <f>SUM(AK895:AK895)</f>
        <v>0</v>
      </c>
      <c r="AU894" s="50">
        <f>SUM(AL895:AL895)</f>
        <v>0</v>
      </c>
    </row>
    <row r="895" spans="1:64" ht="15" customHeight="1">
      <c r="A895" s="52" t="s">
        <v>558</v>
      </c>
      <c r="B895" s="43" t="s">
        <v>853</v>
      </c>
      <c r="C895" s="43" t="s">
        <v>149</v>
      </c>
      <c r="D895" s="61" t="s">
        <v>1654</v>
      </c>
      <c r="E895" s="61"/>
      <c r="F895" s="61"/>
      <c r="G895" s="61"/>
      <c r="H895" s="43" t="s">
        <v>392</v>
      </c>
      <c r="I895" s="46">
        <v>3</v>
      </c>
      <c r="J895" s="46">
        <v>0</v>
      </c>
      <c r="K895" s="46">
        <f>I895*AO895</f>
        <v>0</v>
      </c>
      <c r="L895" s="46">
        <f>I895*AP895</f>
        <v>0</v>
      </c>
      <c r="M895" s="46">
        <f>I895*J895</f>
        <v>0</v>
      </c>
      <c r="N895" s="46">
        <v>0.09436</v>
      </c>
      <c r="O895" s="6" t="s">
        <v>1149</v>
      </c>
      <c r="Z895" s="46">
        <f>IF(AQ895="5",BJ895,0)</f>
        <v>0</v>
      </c>
      <c r="AB895" s="46">
        <f>IF(AQ895="1",BH895,0)</f>
        <v>0</v>
      </c>
      <c r="AC895" s="46">
        <f>IF(AQ895="1",BI895,0)</f>
        <v>0</v>
      </c>
      <c r="AD895" s="46">
        <f>IF(AQ895="7",BH895,0)</f>
        <v>0</v>
      </c>
      <c r="AE895" s="46">
        <f>IF(AQ895="7",BI895,0)</f>
        <v>0</v>
      </c>
      <c r="AF895" s="46">
        <f>IF(AQ895="2",BH895,0)</f>
        <v>0</v>
      </c>
      <c r="AG895" s="46">
        <f>IF(AQ895="2",BI895,0)</f>
        <v>0</v>
      </c>
      <c r="AH895" s="46">
        <f>IF(AQ895="0",BJ895,0)</f>
        <v>0</v>
      </c>
      <c r="AI895" s="1" t="s">
        <v>853</v>
      </c>
      <c r="AJ895" s="46">
        <f>IF(AN895=0,M895,0)</f>
        <v>0</v>
      </c>
      <c r="AK895" s="46">
        <f>IF(AN895=15,M895,0)</f>
        <v>0</v>
      </c>
      <c r="AL895" s="46">
        <f>IF(AN895=21,M895,0)</f>
        <v>0</v>
      </c>
      <c r="AN895" s="46">
        <v>21</v>
      </c>
      <c r="AO895" s="46">
        <f>J895*0.774077368421053</f>
        <v>0</v>
      </c>
      <c r="AP895" s="46">
        <f>J895*(1-0.774077368421053)</f>
        <v>0</v>
      </c>
      <c r="AQ895" s="42" t="s">
        <v>1648</v>
      </c>
      <c r="AV895" s="46">
        <f>AW895+AX895</f>
        <v>0</v>
      </c>
      <c r="AW895" s="46">
        <f>I895*AO895</f>
        <v>0</v>
      </c>
      <c r="AX895" s="46">
        <f>I895*AP895</f>
        <v>0</v>
      </c>
      <c r="AY895" s="42" t="s">
        <v>132</v>
      </c>
      <c r="AZ895" s="42" t="s">
        <v>426</v>
      </c>
      <c r="BA895" s="1" t="s">
        <v>589</v>
      </c>
      <c r="BC895" s="46">
        <f>AW895+AX895</f>
        <v>0</v>
      </c>
      <c r="BD895" s="46">
        <f>J895/(100-BE895)*100</f>
        <v>0</v>
      </c>
      <c r="BE895" s="46">
        <v>0</v>
      </c>
      <c r="BF895" s="46">
        <f>895</f>
        <v>895</v>
      </c>
      <c r="BH895" s="46">
        <f>I895*AO895</f>
        <v>0</v>
      </c>
      <c r="BI895" s="46">
        <f>I895*AP895</f>
        <v>0</v>
      </c>
      <c r="BJ895" s="46">
        <f>I895*J895</f>
        <v>0</v>
      </c>
      <c r="BK895" s="46"/>
      <c r="BL895" s="46">
        <v>89</v>
      </c>
    </row>
    <row r="896" spans="1:15" ht="15" customHeight="1">
      <c r="A896" s="10"/>
      <c r="D896" s="32" t="s">
        <v>1430</v>
      </c>
      <c r="G896" s="32" t="s">
        <v>1312</v>
      </c>
      <c r="I896" s="58">
        <v>3.0000000000000004</v>
      </c>
      <c r="O896" s="30"/>
    </row>
    <row r="897" spans="1:15" ht="27" customHeight="1">
      <c r="A897" s="10"/>
      <c r="C897" s="36" t="s">
        <v>144</v>
      </c>
      <c r="D897" s="65" t="s">
        <v>29</v>
      </c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7"/>
    </row>
    <row r="898" spans="1:47" ht="15" customHeight="1">
      <c r="A898" s="3" t="s">
        <v>1163</v>
      </c>
      <c r="B898" s="9" t="s">
        <v>853</v>
      </c>
      <c r="C898" s="9" t="s">
        <v>1228</v>
      </c>
      <c r="D898" s="64" t="s">
        <v>178</v>
      </c>
      <c r="E898" s="64"/>
      <c r="F898" s="64"/>
      <c r="G898" s="64"/>
      <c r="H898" s="41" t="s">
        <v>1537</v>
      </c>
      <c r="I898" s="41" t="s">
        <v>1537</v>
      </c>
      <c r="J898" s="41" t="s">
        <v>1537</v>
      </c>
      <c r="K898" s="50">
        <f>SUM(K899:K899)</f>
        <v>0</v>
      </c>
      <c r="L898" s="50">
        <f>SUM(L899:L899)</f>
        <v>0</v>
      </c>
      <c r="M898" s="50">
        <f>SUM(M899:M899)</f>
        <v>0</v>
      </c>
      <c r="N898" s="1" t="s">
        <v>1163</v>
      </c>
      <c r="O898" s="45" t="s">
        <v>1163</v>
      </c>
      <c r="AI898" s="1" t="s">
        <v>853</v>
      </c>
      <c r="AS898" s="50">
        <f>SUM(AJ899:AJ899)</f>
        <v>0</v>
      </c>
      <c r="AT898" s="50">
        <f>SUM(AK899:AK899)</f>
        <v>0</v>
      </c>
      <c r="AU898" s="50">
        <f>SUM(AL899:AL899)</f>
        <v>0</v>
      </c>
    </row>
    <row r="899" spans="1:64" ht="15" customHeight="1">
      <c r="A899" s="52" t="s">
        <v>1404</v>
      </c>
      <c r="B899" s="43" t="s">
        <v>853</v>
      </c>
      <c r="C899" s="43" t="s">
        <v>1598</v>
      </c>
      <c r="D899" s="61" t="s">
        <v>1038</v>
      </c>
      <c r="E899" s="61"/>
      <c r="F899" s="61"/>
      <c r="G899" s="61"/>
      <c r="H899" s="43" t="s">
        <v>749</v>
      </c>
      <c r="I899" s="46">
        <v>23.86</v>
      </c>
      <c r="J899" s="46">
        <v>0</v>
      </c>
      <c r="K899" s="46">
        <f>I899*AO899</f>
        <v>0</v>
      </c>
      <c r="L899" s="46">
        <f>I899*AP899</f>
        <v>0</v>
      </c>
      <c r="M899" s="46">
        <f>I899*J899</f>
        <v>0</v>
      </c>
      <c r="N899" s="46">
        <v>0</v>
      </c>
      <c r="O899" s="6" t="s">
        <v>1149</v>
      </c>
      <c r="Z899" s="46">
        <f>IF(AQ899="5",BJ899,0)</f>
        <v>0</v>
      </c>
      <c r="AB899" s="46">
        <f>IF(AQ899="1",BH899,0)</f>
        <v>0</v>
      </c>
      <c r="AC899" s="46">
        <f>IF(AQ899="1",BI899,0)</f>
        <v>0</v>
      </c>
      <c r="AD899" s="46">
        <f>IF(AQ899="7",BH899,0)</f>
        <v>0</v>
      </c>
      <c r="AE899" s="46">
        <f>IF(AQ899="7",BI899,0)</f>
        <v>0</v>
      </c>
      <c r="AF899" s="46">
        <f>IF(AQ899="2",BH899,0)</f>
        <v>0</v>
      </c>
      <c r="AG899" s="46">
        <f>IF(AQ899="2",BI899,0)</f>
        <v>0</v>
      </c>
      <c r="AH899" s="46">
        <f>IF(AQ899="0",BJ899,0)</f>
        <v>0</v>
      </c>
      <c r="AI899" s="1" t="s">
        <v>853</v>
      </c>
      <c r="AJ899" s="46">
        <f>IF(AN899=0,M899,0)</f>
        <v>0</v>
      </c>
      <c r="AK899" s="46">
        <f>IF(AN899=15,M899,0)</f>
        <v>0</v>
      </c>
      <c r="AL899" s="46">
        <f>IF(AN899=21,M899,0)</f>
        <v>0</v>
      </c>
      <c r="AN899" s="46">
        <v>21</v>
      </c>
      <c r="AO899" s="46">
        <f>J899*0</f>
        <v>0</v>
      </c>
      <c r="AP899" s="46">
        <f>J899*(1-0)</f>
        <v>0</v>
      </c>
      <c r="AQ899" s="42" t="s">
        <v>880</v>
      </c>
      <c r="AV899" s="46">
        <f>AW899+AX899</f>
        <v>0</v>
      </c>
      <c r="AW899" s="46">
        <f>I899*AO899</f>
        <v>0</v>
      </c>
      <c r="AX899" s="46">
        <f>I899*AP899</f>
        <v>0</v>
      </c>
      <c r="AY899" s="42" t="s">
        <v>285</v>
      </c>
      <c r="AZ899" s="42" t="s">
        <v>105</v>
      </c>
      <c r="BA899" s="1" t="s">
        <v>589</v>
      </c>
      <c r="BC899" s="46">
        <f>AW899+AX899</f>
        <v>0</v>
      </c>
      <c r="BD899" s="46">
        <f>J899/(100-BE899)*100</f>
        <v>0</v>
      </c>
      <c r="BE899" s="46">
        <v>0</v>
      </c>
      <c r="BF899" s="46">
        <f>899</f>
        <v>899</v>
      </c>
      <c r="BH899" s="46">
        <f>I899*AO899</f>
        <v>0</v>
      </c>
      <c r="BI899" s="46">
        <f>I899*AP899</f>
        <v>0</v>
      </c>
      <c r="BJ899" s="46">
        <f>I899*J899</f>
        <v>0</v>
      </c>
      <c r="BK899" s="46"/>
      <c r="BL899" s="46"/>
    </row>
    <row r="900" spans="1:15" ht="15" customHeight="1">
      <c r="A900" s="10"/>
      <c r="D900" s="32" t="s">
        <v>1819</v>
      </c>
      <c r="G900" s="32" t="s">
        <v>1163</v>
      </c>
      <c r="I900" s="58">
        <v>23.860000000000003</v>
      </c>
      <c r="O900" s="30"/>
    </row>
    <row r="901" spans="1:47" ht="15" customHeight="1">
      <c r="A901" s="3" t="s">
        <v>1163</v>
      </c>
      <c r="B901" s="9" t="s">
        <v>853</v>
      </c>
      <c r="C901" s="9" t="s">
        <v>980</v>
      </c>
      <c r="D901" s="64" t="s">
        <v>1045</v>
      </c>
      <c r="E901" s="64"/>
      <c r="F901" s="64"/>
      <c r="G901" s="64"/>
      <c r="H901" s="41" t="s">
        <v>1537</v>
      </c>
      <c r="I901" s="41" t="s">
        <v>1537</v>
      </c>
      <c r="J901" s="41" t="s">
        <v>1537</v>
      </c>
      <c r="K901" s="50">
        <f>SUM(K902:K904)</f>
        <v>0</v>
      </c>
      <c r="L901" s="50">
        <f>SUM(L902:L904)</f>
        <v>0</v>
      </c>
      <c r="M901" s="50">
        <f>SUM(M902:M904)</f>
        <v>0</v>
      </c>
      <c r="N901" s="1" t="s">
        <v>1163</v>
      </c>
      <c r="O901" s="45" t="s">
        <v>1163</v>
      </c>
      <c r="AI901" s="1" t="s">
        <v>853</v>
      </c>
      <c r="AS901" s="50">
        <f>SUM(AJ902:AJ904)</f>
        <v>0</v>
      </c>
      <c r="AT901" s="50">
        <f>SUM(AK902:AK904)</f>
        <v>0</v>
      </c>
      <c r="AU901" s="50">
        <f>SUM(AL902:AL904)</f>
        <v>0</v>
      </c>
    </row>
    <row r="902" spans="1:64" ht="15" customHeight="1">
      <c r="A902" s="52" t="s">
        <v>185</v>
      </c>
      <c r="B902" s="43" t="s">
        <v>853</v>
      </c>
      <c r="C902" s="43" t="s">
        <v>182</v>
      </c>
      <c r="D902" s="61" t="s">
        <v>196</v>
      </c>
      <c r="E902" s="61"/>
      <c r="F902" s="61"/>
      <c r="G902" s="61"/>
      <c r="H902" s="43" t="s">
        <v>1629</v>
      </c>
      <c r="I902" s="46">
        <v>205</v>
      </c>
      <c r="J902" s="46">
        <v>0</v>
      </c>
      <c r="K902" s="46">
        <f>I902*AO902</f>
        <v>0</v>
      </c>
      <c r="L902" s="46">
        <f>I902*AP902</f>
        <v>0</v>
      </c>
      <c r="M902" s="46">
        <f>I902*J902</f>
        <v>0</v>
      </c>
      <c r="N902" s="46">
        <v>0</v>
      </c>
      <c r="O902" s="6" t="s">
        <v>1149</v>
      </c>
      <c r="Z902" s="46">
        <f>IF(AQ902="5",BJ902,0)</f>
        <v>0</v>
      </c>
      <c r="AB902" s="46">
        <f>IF(AQ902="1",BH902,0)</f>
        <v>0</v>
      </c>
      <c r="AC902" s="46">
        <f>IF(AQ902="1",BI902,0)</f>
        <v>0</v>
      </c>
      <c r="AD902" s="46">
        <f>IF(AQ902="7",BH902,0)</f>
        <v>0</v>
      </c>
      <c r="AE902" s="46">
        <f>IF(AQ902="7",BI902,0)</f>
        <v>0</v>
      </c>
      <c r="AF902" s="46">
        <f>IF(AQ902="2",BH902,0)</f>
        <v>0</v>
      </c>
      <c r="AG902" s="46">
        <f>IF(AQ902="2",BI902,0)</f>
        <v>0</v>
      </c>
      <c r="AH902" s="46">
        <f>IF(AQ902="0",BJ902,0)</f>
        <v>0</v>
      </c>
      <c r="AI902" s="1" t="s">
        <v>853</v>
      </c>
      <c r="AJ902" s="46">
        <f>IF(AN902=0,M902,0)</f>
        <v>0</v>
      </c>
      <c r="AK902" s="46">
        <f>IF(AN902=15,M902,0)</f>
        <v>0</v>
      </c>
      <c r="AL902" s="46">
        <f>IF(AN902=21,M902,0)</f>
        <v>0</v>
      </c>
      <c r="AN902" s="46">
        <v>21</v>
      </c>
      <c r="AO902" s="46">
        <f>J902*0</f>
        <v>0</v>
      </c>
      <c r="AP902" s="46">
        <f>J902*(1-0)</f>
        <v>0</v>
      </c>
      <c r="AQ902" s="42" t="s">
        <v>1157</v>
      </c>
      <c r="AV902" s="46">
        <f>AW902+AX902</f>
        <v>0</v>
      </c>
      <c r="AW902" s="46">
        <f>I902*AO902</f>
        <v>0</v>
      </c>
      <c r="AX902" s="46">
        <f>I902*AP902</f>
        <v>0</v>
      </c>
      <c r="AY902" s="42" t="s">
        <v>1454</v>
      </c>
      <c r="AZ902" s="42" t="s">
        <v>105</v>
      </c>
      <c r="BA902" s="1" t="s">
        <v>589</v>
      </c>
      <c r="BC902" s="46">
        <f>AW902+AX902</f>
        <v>0</v>
      </c>
      <c r="BD902" s="46">
        <f>J902/(100-BE902)*100</f>
        <v>0</v>
      </c>
      <c r="BE902" s="46">
        <v>0</v>
      </c>
      <c r="BF902" s="46">
        <f>902</f>
        <v>902</v>
      </c>
      <c r="BH902" s="46">
        <f>I902*AO902</f>
        <v>0</v>
      </c>
      <c r="BI902" s="46">
        <f>I902*AP902</f>
        <v>0</v>
      </c>
      <c r="BJ902" s="46">
        <f>I902*J902</f>
        <v>0</v>
      </c>
      <c r="BK902" s="46"/>
      <c r="BL902" s="46"/>
    </row>
    <row r="903" spans="1:15" ht="15" customHeight="1">
      <c r="A903" s="10"/>
      <c r="D903" s="32" t="s">
        <v>1536</v>
      </c>
      <c r="G903" s="32" t="s">
        <v>1163</v>
      </c>
      <c r="I903" s="58">
        <v>205.00000000000003</v>
      </c>
      <c r="O903" s="30"/>
    </row>
    <row r="904" spans="1:64" ht="15" customHeight="1">
      <c r="A904" s="52" t="s">
        <v>488</v>
      </c>
      <c r="B904" s="43" t="s">
        <v>853</v>
      </c>
      <c r="C904" s="43" t="s">
        <v>254</v>
      </c>
      <c r="D904" s="61" t="s">
        <v>1452</v>
      </c>
      <c r="E904" s="61"/>
      <c r="F904" s="61"/>
      <c r="G904" s="61"/>
      <c r="H904" s="43" t="s">
        <v>1604</v>
      </c>
      <c r="I904" s="46">
        <v>7</v>
      </c>
      <c r="J904" s="46">
        <v>0</v>
      </c>
      <c r="K904" s="46">
        <f>I904*AO904</f>
        <v>0</v>
      </c>
      <c r="L904" s="46">
        <f>I904*AP904</f>
        <v>0</v>
      </c>
      <c r="M904" s="46">
        <f>I904*J904</f>
        <v>0</v>
      </c>
      <c r="N904" s="46">
        <v>0</v>
      </c>
      <c r="O904" s="6" t="s">
        <v>1149</v>
      </c>
      <c r="Z904" s="46">
        <f>IF(AQ904="5",BJ904,0)</f>
        <v>0</v>
      </c>
      <c r="AB904" s="46">
        <f>IF(AQ904="1",BH904,0)</f>
        <v>0</v>
      </c>
      <c r="AC904" s="46">
        <f>IF(AQ904="1",BI904,0)</f>
        <v>0</v>
      </c>
      <c r="AD904" s="46">
        <f>IF(AQ904="7",BH904,0)</f>
        <v>0</v>
      </c>
      <c r="AE904" s="46">
        <f>IF(AQ904="7",BI904,0)</f>
        <v>0</v>
      </c>
      <c r="AF904" s="46">
        <f>IF(AQ904="2",BH904,0)</f>
        <v>0</v>
      </c>
      <c r="AG904" s="46">
        <f>IF(AQ904="2",BI904,0)</f>
        <v>0</v>
      </c>
      <c r="AH904" s="46">
        <f>IF(AQ904="0",BJ904,0)</f>
        <v>0</v>
      </c>
      <c r="AI904" s="1" t="s">
        <v>853</v>
      </c>
      <c r="AJ904" s="46">
        <f>IF(AN904=0,M904,0)</f>
        <v>0</v>
      </c>
      <c r="AK904" s="46">
        <f>IF(AN904=15,M904,0)</f>
        <v>0</v>
      </c>
      <c r="AL904" s="46">
        <f>IF(AN904=21,M904,0)</f>
        <v>0</v>
      </c>
      <c r="AN904" s="46">
        <v>21</v>
      </c>
      <c r="AO904" s="46">
        <f>J904*0</f>
        <v>0</v>
      </c>
      <c r="AP904" s="46">
        <f>J904*(1-0)</f>
        <v>0</v>
      </c>
      <c r="AQ904" s="42" t="s">
        <v>1157</v>
      </c>
      <c r="AV904" s="46">
        <f>AW904+AX904</f>
        <v>0</v>
      </c>
      <c r="AW904" s="46">
        <f>I904*AO904</f>
        <v>0</v>
      </c>
      <c r="AX904" s="46">
        <f>I904*AP904</f>
        <v>0</v>
      </c>
      <c r="AY904" s="42" t="s">
        <v>1454</v>
      </c>
      <c r="AZ904" s="42" t="s">
        <v>105</v>
      </c>
      <c r="BA904" s="1" t="s">
        <v>589</v>
      </c>
      <c r="BC904" s="46">
        <f>AW904+AX904</f>
        <v>0</v>
      </c>
      <c r="BD904" s="46">
        <f>J904/(100-BE904)*100</f>
        <v>0</v>
      </c>
      <c r="BE904" s="46">
        <v>0</v>
      </c>
      <c r="BF904" s="46">
        <f>904</f>
        <v>904</v>
      </c>
      <c r="BH904" s="46">
        <f>I904*AO904</f>
        <v>0</v>
      </c>
      <c r="BI904" s="46">
        <f>I904*AP904</f>
        <v>0</v>
      </c>
      <c r="BJ904" s="46">
        <f>I904*J904</f>
        <v>0</v>
      </c>
      <c r="BK904" s="46"/>
      <c r="BL904" s="46"/>
    </row>
    <row r="905" spans="1:15" ht="15" customHeight="1">
      <c r="A905" s="10"/>
      <c r="D905" s="32" t="s">
        <v>1653</v>
      </c>
      <c r="G905" s="32" t="s">
        <v>1163</v>
      </c>
      <c r="I905" s="58">
        <v>7.000000000000001</v>
      </c>
      <c r="O905" s="30"/>
    </row>
    <row r="906" spans="1:47" ht="15" customHeight="1">
      <c r="A906" s="3" t="s">
        <v>1163</v>
      </c>
      <c r="B906" s="9" t="s">
        <v>853</v>
      </c>
      <c r="C906" s="9" t="s">
        <v>1163</v>
      </c>
      <c r="D906" s="64" t="s">
        <v>119</v>
      </c>
      <c r="E906" s="64"/>
      <c r="F906" s="64"/>
      <c r="G906" s="64"/>
      <c r="H906" s="41" t="s">
        <v>1537</v>
      </c>
      <c r="I906" s="41" t="s">
        <v>1537</v>
      </c>
      <c r="J906" s="41" t="s">
        <v>1537</v>
      </c>
      <c r="K906" s="50">
        <f>SUM(K907:K907)</f>
        <v>0</v>
      </c>
      <c r="L906" s="50">
        <f>SUM(L907:L907)</f>
        <v>0</v>
      </c>
      <c r="M906" s="50">
        <f>SUM(M907:M907)</f>
        <v>0</v>
      </c>
      <c r="N906" s="1" t="s">
        <v>1163</v>
      </c>
      <c r="O906" s="45" t="s">
        <v>1163</v>
      </c>
      <c r="AI906" s="1" t="s">
        <v>853</v>
      </c>
      <c r="AS906" s="50">
        <f>SUM(AJ907:AJ907)</f>
        <v>0</v>
      </c>
      <c r="AT906" s="50">
        <f>SUM(AK907:AK907)</f>
        <v>0</v>
      </c>
      <c r="AU906" s="50">
        <f>SUM(AL907:AL907)</f>
        <v>0</v>
      </c>
    </row>
    <row r="907" spans="1:64" ht="15" customHeight="1">
      <c r="A907" s="52" t="s">
        <v>637</v>
      </c>
      <c r="B907" s="43" t="s">
        <v>853</v>
      </c>
      <c r="C907" s="43" t="s">
        <v>612</v>
      </c>
      <c r="D907" s="61" t="s">
        <v>1046</v>
      </c>
      <c r="E907" s="61"/>
      <c r="F907" s="61"/>
      <c r="G907" s="61"/>
      <c r="H907" s="43" t="s">
        <v>1604</v>
      </c>
      <c r="I907" s="46">
        <v>8</v>
      </c>
      <c r="J907" s="46">
        <v>0</v>
      </c>
      <c r="K907" s="46">
        <f>I907*AO907</f>
        <v>0</v>
      </c>
      <c r="L907" s="46">
        <f>I907*AP907</f>
        <v>0</v>
      </c>
      <c r="M907" s="46">
        <f>I907*J907</f>
        <v>0</v>
      </c>
      <c r="N907" s="46">
        <v>0.6</v>
      </c>
      <c r="O907" s="6" t="s">
        <v>1149</v>
      </c>
      <c r="Z907" s="46">
        <f>IF(AQ907="5",BJ907,0)</f>
        <v>0</v>
      </c>
      <c r="AB907" s="46">
        <f>IF(AQ907="1",BH907,0)</f>
        <v>0</v>
      </c>
      <c r="AC907" s="46">
        <f>IF(AQ907="1",BI907,0)</f>
        <v>0</v>
      </c>
      <c r="AD907" s="46">
        <f>IF(AQ907="7",BH907,0)</f>
        <v>0</v>
      </c>
      <c r="AE907" s="46">
        <f>IF(AQ907="7",BI907,0)</f>
        <v>0</v>
      </c>
      <c r="AF907" s="46">
        <f>IF(AQ907="2",BH907,0)</f>
        <v>0</v>
      </c>
      <c r="AG907" s="46">
        <f>IF(AQ907="2",BI907,0)</f>
        <v>0</v>
      </c>
      <c r="AH907" s="46">
        <f>IF(AQ907="0",BJ907,0)</f>
        <v>0</v>
      </c>
      <c r="AI907" s="1" t="s">
        <v>853</v>
      </c>
      <c r="AJ907" s="46">
        <f>IF(AN907=0,M907,0)</f>
        <v>0</v>
      </c>
      <c r="AK907" s="46">
        <f>IF(AN907=15,M907,0)</f>
        <v>0</v>
      </c>
      <c r="AL907" s="46">
        <f>IF(AN907=21,M907,0)</f>
        <v>0</v>
      </c>
      <c r="AN907" s="46">
        <v>21</v>
      </c>
      <c r="AO907" s="46">
        <f>J907*1</f>
        <v>0</v>
      </c>
      <c r="AP907" s="46">
        <f>J907*(1-1)</f>
        <v>0</v>
      </c>
      <c r="AQ907" s="42" t="s">
        <v>871</v>
      </c>
      <c r="AV907" s="46">
        <f>AW907+AX907</f>
        <v>0</v>
      </c>
      <c r="AW907" s="46">
        <f>I907*AO907</f>
        <v>0</v>
      </c>
      <c r="AX907" s="46">
        <f>I907*AP907</f>
        <v>0</v>
      </c>
      <c r="AY907" s="42" t="s">
        <v>337</v>
      </c>
      <c r="AZ907" s="42" t="s">
        <v>1298</v>
      </c>
      <c r="BA907" s="1" t="s">
        <v>589</v>
      </c>
      <c r="BC907" s="46">
        <f>AW907+AX907</f>
        <v>0</v>
      </c>
      <c r="BD907" s="46">
        <f>J907/(100-BE907)*100</f>
        <v>0</v>
      </c>
      <c r="BE907" s="46">
        <v>0</v>
      </c>
      <c r="BF907" s="46">
        <f>907</f>
        <v>907</v>
      </c>
      <c r="BH907" s="46">
        <f>I907*AO907</f>
        <v>0</v>
      </c>
      <c r="BI907" s="46">
        <f>I907*AP907</f>
        <v>0</v>
      </c>
      <c r="BJ907" s="46">
        <f>I907*J907</f>
        <v>0</v>
      </c>
      <c r="BK907" s="46"/>
      <c r="BL907" s="46"/>
    </row>
    <row r="908" spans="1:15" ht="15" customHeight="1">
      <c r="A908" s="10"/>
      <c r="D908" s="32" t="s">
        <v>1326</v>
      </c>
      <c r="G908" s="32" t="s">
        <v>1163</v>
      </c>
      <c r="I908" s="58">
        <v>8</v>
      </c>
      <c r="O908" s="30"/>
    </row>
    <row r="909" spans="1:35" ht="15" customHeight="1">
      <c r="A909" s="3" t="s">
        <v>1163</v>
      </c>
      <c r="B909" s="9" t="s">
        <v>853</v>
      </c>
      <c r="C909" s="9" t="s">
        <v>1163</v>
      </c>
      <c r="D909" s="64" t="s">
        <v>989</v>
      </c>
      <c r="E909" s="64"/>
      <c r="F909" s="64"/>
      <c r="G909" s="64"/>
      <c r="H909" s="41" t="s">
        <v>1537</v>
      </c>
      <c r="I909" s="41" t="s">
        <v>1537</v>
      </c>
      <c r="J909" s="41" t="s">
        <v>1537</v>
      </c>
      <c r="K909" s="50">
        <f>K910</f>
        <v>0</v>
      </c>
      <c r="L909" s="50">
        <f>L910</f>
        <v>0</v>
      </c>
      <c r="M909" s="50">
        <f>M910</f>
        <v>0</v>
      </c>
      <c r="N909" s="1" t="s">
        <v>1163</v>
      </c>
      <c r="O909" s="45" t="s">
        <v>1163</v>
      </c>
      <c r="AI909" s="1" t="s">
        <v>853</v>
      </c>
    </row>
    <row r="910" spans="1:47" ht="15" customHeight="1">
      <c r="A910" s="3" t="s">
        <v>1163</v>
      </c>
      <c r="B910" s="9" t="s">
        <v>853</v>
      </c>
      <c r="C910" s="9" t="s">
        <v>1235</v>
      </c>
      <c r="D910" s="64" t="s">
        <v>768</v>
      </c>
      <c r="E910" s="64"/>
      <c r="F910" s="64"/>
      <c r="G910" s="64"/>
      <c r="H910" s="41" t="s">
        <v>1537</v>
      </c>
      <c r="I910" s="41" t="s">
        <v>1537</v>
      </c>
      <c r="J910" s="41" t="s">
        <v>1537</v>
      </c>
      <c r="K910" s="50">
        <f>SUM(K911:K911)</f>
        <v>0</v>
      </c>
      <c r="L910" s="50">
        <f>SUM(L911:L911)</f>
        <v>0</v>
      </c>
      <c r="M910" s="50">
        <f>SUM(M911:M911)</f>
        <v>0</v>
      </c>
      <c r="N910" s="1" t="s">
        <v>1163</v>
      </c>
      <c r="O910" s="45" t="s">
        <v>1163</v>
      </c>
      <c r="AI910" s="1" t="s">
        <v>853</v>
      </c>
      <c r="AS910" s="50">
        <f>SUM(AJ911:AJ911)</f>
        <v>0</v>
      </c>
      <c r="AT910" s="50">
        <f>SUM(AK911:AK911)</f>
        <v>0</v>
      </c>
      <c r="AU910" s="50">
        <f>SUM(AL911:AL911)</f>
        <v>0</v>
      </c>
    </row>
    <row r="911" spans="1:65" ht="15" customHeight="1">
      <c r="A911" s="52" t="s">
        <v>889</v>
      </c>
      <c r="B911" s="43" t="s">
        <v>853</v>
      </c>
      <c r="C911" s="43" t="s">
        <v>1718</v>
      </c>
      <c r="D911" s="61" t="s">
        <v>780</v>
      </c>
      <c r="E911" s="61"/>
      <c r="F911" s="61"/>
      <c r="G911" s="61"/>
      <c r="H911" s="43" t="s">
        <v>1126</v>
      </c>
      <c r="I911" s="46">
        <v>3</v>
      </c>
      <c r="J911" s="46">
        <v>0</v>
      </c>
      <c r="K911" s="46">
        <f>I911*AO911</f>
        <v>0</v>
      </c>
      <c r="L911" s="46">
        <f>I911*AP911</f>
        <v>0</v>
      </c>
      <c r="M911" s="46">
        <f>I911*J911</f>
        <v>0</v>
      </c>
      <c r="N911" s="46">
        <v>0</v>
      </c>
      <c r="O911" s="6" t="s">
        <v>1149</v>
      </c>
      <c r="Z911" s="46">
        <f>IF(AQ911="5",BJ911,0)</f>
        <v>0</v>
      </c>
      <c r="AB911" s="46">
        <f>IF(AQ911="1",BH911,0)</f>
        <v>0</v>
      </c>
      <c r="AC911" s="46">
        <f>IF(AQ911="1",BI911,0)</f>
        <v>0</v>
      </c>
      <c r="AD911" s="46">
        <f>IF(AQ911="7",BH911,0)</f>
        <v>0</v>
      </c>
      <c r="AE911" s="46">
        <f>IF(AQ911="7",BI911,0)</f>
        <v>0</v>
      </c>
      <c r="AF911" s="46">
        <f>IF(AQ911="2",BH911,0)</f>
        <v>0</v>
      </c>
      <c r="AG911" s="46">
        <f>IF(AQ911="2",BI911,0)</f>
        <v>0</v>
      </c>
      <c r="AH911" s="46">
        <f>IF(AQ911="0",BJ911,0)</f>
        <v>0</v>
      </c>
      <c r="AI911" s="1" t="s">
        <v>853</v>
      </c>
      <c r="AJ911" s="46">
        <f>IF(AN911=0,M911,0)</f>
        <v>0</v>
      </c>
      <c r="AK911" s="46">
        <f>IF(AN911=15,M911,0)</f>
        <v>0</v>
      </c>
      <c r="AL911" s="46">
        <f>IF(AN911=21,M911,0)</f>
        <v>0</v>
      </c>
      <c r="AN911" s="46">
        <v>21</v>
      </c>
      <c r="AO911" s="46">
        <f>J911*0</f>
        <v>0</v>
      </c>
      <c r="AP911" s="46">
        <f>J911*(1-0)</f>
        <v>0</v>
      </c>
      <c r="AQ911" s="42" t="s">
        <v>765</v>
      </c>
      <c r="AV911" s="46">
        <f>AW911+AX911</f>
        <v>0</v>
      </c>
      <c r="AW911" s="46">
        <f>I911*AO911</f>
        <v>0</v>
      </c>
      <c r="AX911" s="46">
        <f>I911*AP911</f>
        <v>0</v>
      </c>
      <c r="AY911" s="42" t="s">
        <v>784</v>
      </c>
      <c r="AZ911" s="42" t="s">
        <v>1049</v>
      </c>
      <c r="BA911" s="1" t="s">
        <v>589</v>
      </c>
      <c r="BC911" s="46">
        <f>AW911+AX911</f>
        <v>0</v>
      </c>
      <c r="BD911" s="46">
        <f>J911/(100-BE911)*100</f>
        <v>0</v>
      </c>
      <c r="BE911" s="46">
        <v>0</v>
      </c>
      <c r="BF911" s="46">
        <f>911</f>
        <v>911</v>
      </c>
      <c r="BH911" s="46">
        <f>I911*AO911</f>
        <v>0</v>
      </c>
      <c r="BI911" s="46">
        <f>I911*AP911</f>
        <v>0</v>
      </c>
      <c r="BJ911" s="46">
        <f>I911*J911</f>
        <v>0</v>
      </c>
      <c r="BK911" s="46"/>
      <c r="BL911" s="46"/>
      <c r="BM911" s="46">
        <f>I911*J911</f>
        <v>0</v>
      </c>
    </row>
    <row r="912" spans="1:15" ht="15" customHeight="1">
      <c r="A912" s="10"/>
      <c r="D912" s="32" t="s">
        <v>1430</v>
      </c>
      <c r="G912" s="32" t="s">
        <v>1182</v>
      </c>
      <c r="I912" s="58">
        <v>3.0000000000000004</v>
      </c>
      <c r="O912" s="30"/>
    </row>
    <row r="913" spans="1:15" ht="27" customHeight="1">
      <c r="A913" s="10"/>
      <c r="C913" s="36" t="s">
        <v>144</v>
      </c>
      <c r="D913" s="65" t="s">
        <v>1176</v>
      </c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7"/>
    </row>
    <row r="914" spans="1:15" ht="15" customHeight="1">
      <c r="A914" s="3" t="s">
        <v>1163</v>
      </c>
      <c r="B914" s="9" t="s">
        <v>1471</v>
      </c>
      <c r="C914" s="9" t="s">
        <v>1163</v>
      </c>
      <c r="D914" s="64" t="s">
        <v>1006</v>
      </c>
      <c r="E914" s="64"/>
      <c r="F914" s="64"/>
      <c r="G914" s="64"/>
      <c r="H914" s="41" t="s">
        <v>1537</v>
      </c>
      <c r="I914" s="41" t="s">
        <v>1537</v>
      </c>
      <c r="J914" s="41" t="s">
        <v>1537</v>
      </c>
      <c r="K914" s="50">
        <f>K915+K929+K932+K939+K946+K959+K982+K988+K992+K995+K1006+K1013+K1020+K1023+K1028+K1033</f>
        <v>0</v>
      </c>
      <c r="L914" s="50">
        <f>L915+L929+L932+L939+L946+L959+L982+L988+L992+L995+L1006+L1013+L1020+L1023+L1028+L1033</f>
        <v>0</v>
      </c>
      <c r="M914" s="50">
        <f>M915+M929+M932+M939+M946+M959+M982+M988+M992+M995+M1006+M1013+M1020+M1023+M1028+M1033</f>
        <v>0</v>
      </c>
      <c r="N914" s="1" t="s">
        <v>1163</v>
      </c>
      <c r="O914" s="45" t="s">
        <v>1163</v>
      </c>
    </row>
    <row r="915" spans="1:47" ht="15" customHeight="1">
      <c r="A915" s="3" t="s">
        <v>1163</v>
      </c>
      <c r="B915" s="9" t="s">
        <v>1471</v>
      </c>
      <c r="C915" s="9" t="s">
        <v>1385</v>
      </c>
      <c r="D915" s="64" t="s">
        <v>909</v>
      </c>
      <c r="E915" s="64"/>
      <c r="F915" s="64"/>
      <c r="G915" s="64"/>
      <c r="H915" s="41" t="s">
        <v>1537</v>
      </c>
      <c r="I915" s="41" t="s">
        <v>1537</v>
      </c>
      <c r="J915" s="41" t="s">
        <v>1537</v>
      </c>
      <c r="K915" s="50">
        <f>SUM(K916:K927)</f>
        <v>0</v>
      </c>
      <c r="L915" s="50">
        <f>SUM(L916:L927)</f>
        <v>0</v>
      </c>
      <c r="M915" s="50">
        <f>SUM(M916:M927)</f>
        <v>0</v>
      </c>
      <c r="N915" s="1" t="s">
        <v>1163</v>
      </c>
      <c r="O915" s="45" t="s">
        <v>1163</v>
      </c>
      <c r="AI915" s="1" t="s">
        <v>1471</v>
      </c>
      <c r="AS915" s="50">
        <f>SUM(AJ916:AJ927)</f>
        <v>0</v>
      </c>
      <c r="AT915" s="50">
        <f>SUM(AK916:AK927)</f>
        <v>0</v>
      </c>
      <c r="AU915" s="50">
        <f>SUM(AL916:AL927)</f>
        <v>0</v>
      </c>
    </row>
    <row r="916" spans="1:64" ht="15" customHeight="1">
      <c r="A916" s="52" t="s">
        <v>1475</v>
      </c>
      <c r="B916" s="43" t="s">
        <v>1471</v>
      </c>
      <c r="C916" s="43" t="s">
        <v>1189</v>
      </c>
      <c r="D916" s="61" t="s">
        <v>114</v>
      </c>
      <c r="E916" s="61"/>
      <c r="F916" s="61"/>
      <c r="G916" s="61"/>
      <c r="H916" s="43" t="s">
        <v>1629</v>
      </c>
      <c r="I916" s="46">
        <v>0</v>
      </c>
      <c r="J916" s="46">
        <v>0</v>
      </c>
      <c r="K916" s="46">
        <f>I916*AO916</f>
        <v>0</v>
      </c>
      <c r="L916" s="46">
        <f>I916*AP916</f>
        <v>0</v>
      </c>
      <c r="M916" s="46">
        <f>I916*J916</f>
        <v>0</v>
      </c>
      <c r="N916" s="46">
        <v>0</v>
      </c>
      <c r="O916" s="6" t="s">
        <v>1149</v>
      </c>
      <c r="Z916" s="46">
        <f>IF(AQ916="5",BJ916,0)</f>
        <v>0</v>
      </c>
      <c r="AB916" s="46">
        <f>IF(AQ916="1",BH916,0)</f>
        <v>0</v>
      </c>
      <c r="AC916" s="46">
        <f>IF(AQ916="1",BI916,0)</f>
        <v>0</v>
      </c>
      <c r="AD916" s="46">
        <f>IF(AQ916="7",BH916,0)</f>
        <v>0</v>
      </c>
      <c r="AE916" s="46">
        <f>IF(AQ916="7",BI916,0)</f>
        <v>0</v>
      </c>
      <c r="AF916" s="46">
        <f>IF(AQ916="2",BH916,0)</f>
        <v>0</v>
      </c>
      <c r="AG916" s="46">
        <f>IF(AQ916="2",BI916,0)</f>
        <v>0</v>
      </c>
      <c r="AH916" s="46">
        <f>IF(AQ916="0",BJ916,0)</f>
        <v>0</v>
      </c>
      <c r="AI916" s="1" t="s">
        <v>1471</v>
      </c>
      <c r="AJ916" s="46">
        <f>IF(AN916=0,M916,0)</f>
        <v>0</v>
      </c>
      <c r="AK916" s="46">
        <f>IF(AN916=15,M916,0)</f>
        <v>0</v>
      </c>
      <c r="AL916" s="46">
        <f>IF(AN916=21,M916,0)</f>
        <v>0</v>
      </c>
      <c r="AN916" s="46">
        <v>21</v>
      </c>
      <c r="AO916" s="46">
        <f>J916*0</f>
        <v>0</v>
      </c>
      <c r="AP916" s="46">
        <f>J916*(1-0)</f>
        <v>0</v>
      </c>
      <c r="AQ916" s="42" t="s">
        <v>1648</v>
      </c>
      <c r="AV916" s="46">
        <f>AW916+AX916</f>
        <v>0</v>
      </c>
      <c r="AW916" s="46">
        <f>I916*AO916</f>
        <v>0</v>
      </c>
      <c r="AX916" s="46">
        <f>I916*AP916</f>
        <v>0</v>
      </c>
      <c r="AY916" s="42" t="s">
        <v>179</v>
      </c>
      <c r="AZ916" s="42" t="s">
        <v>1850</v>
      </c>
      <c r="BA916" s="1" t="s">
        <v>630</v>
      </c>
      <c r="BC916" s="46">
        <f>AW916+AX916</f>
        <v>0</v>
      </c>
      <c r="BD916" s="46">
        <f>J916/(100-BE916)*100</f>
        <v>0</v>
      </c>
      <c r="BE916" s="46">
        <v>0</v>
      </c>
      <c r="BF916" s="46">
        <f>916</f>
        <v>916</v>
      </c>
      <c r="BH916" s="46">
        <f>I916*AO916</f>
        <v>0</v>
      </c>
      <c r="BI916" s="46">
        <f>I916*AP916</f>
        <v>0</v>
      </c>
      <c r="BJ916" s="46">
        <f>I916*J916</f>
        <v>0</v>
      </c>
      <c r="BK916" s="46"/>
      <c r="BL916" s="46">
        <v>11</v>
      </c>
    </row>
    <row r="917" spans="1:15" ht="15" customHeight="1">
      <c r="A917" s="10"/>
      <c r="D917" s="32" t="s">
        <v>404</v>
      </c>
      <c r="G917" s="32" t="s">
        <v>1163</v>
      </c>
      <c r="I917" s="58">
        <v>0</v>
      </c>
      <c r="O917" s="30"/>
    </row>
    <row r="918" spans="1:64" ht="15" customHeight="1">
      <c r="A918" s="52" t="s">
        <v>616</v>
      </c>
      <c r="B918" s="43" t="s">
        <v>1471</v>
      </c>
      <c r="C918" s="43" t="s">
        <v>1199</v>
      </c>
      <c r="D918" s="61" t="s">
        <v>1553</v>
      </c>
      <c r="E918" s="61"/>
      <c r="F918" s="61"/>
      <c r="G918" s="61"/>
      <c r="H918" s="43" t="s">
        <v>1365</v>
      </c>
      <c r="I918" s="46">
        <v>1580</v>
      </c>
      <c r="J918" s="46">
        <v>0</v>
      </c>
      <c r="K918" s="46">
        <f>I918*AO918</f>
        <v>0</v>
      </c>
      <c r="L918" s="46">
        <f>I918*AP918</f>
        <v>0</v>
      </c>
      <c r="M918" s="46">
        <f>I918*J918</f>
        <v>0</v>
      </c>
      <c r="N918" s="46">
        <v>0</v>
      </c>
      <c r="O918" s="6" t="s">
        <v>1149</v>
      </c>
      <c r="Z918" s="46">
        <f>IF(AQ918="5",BJ918,0)</f>
        <v>0</v>
      </c>
      <c r="AB918" s="46">
        <f>IF(AQ918="1",BH918,0)</f>
        <v>0</v>
      </c>
      <c r="AC918" s="46">
        <f>IF(AQ918="1",BI918,0)</f>
        <v>0</v>
      </c>
      <c r="AD918" s="46">
        <f>IF(AQ918="7",BH918,0)</f>
        <v>0</v>
      </c>
      <c r="AE918" s="46">
        <f>IF(AQ918="7",BI918,0)</f>
        <v>0</v>
      </c>
      <c r="AF918" s="46">
        <f>IF(AQ918="2",BH918,0)</f>
        <v>0</v>
      </c>
      <c r="AG918" s="46">
        <f>IF(AQ918="2",BI918,0)</f>
        <v>0</v>
      </c>
      <c r="AH918" s="46">
        <f>IF(AQ918="0",BJ918,0)</f>
        <v>0</v>
      </c>
      <c r="AI918" s="1" t="s">
        <v>1471</v>
      </c>
      <c r="AJ918" s="46">
        <f>IF(AN918=0,M918,0)</f>
        <v>0</v>
      </c>
      <c r="AK918" s="46">
        <f>IF(AN918=15,M918,0)</f>
        <v>0</v>
      </c>
      <c r="AL918" s="46">
        <f>IF(AN918=21,M918,0)</f>
        <v>0</v>
      </c>
      <c r="AN918" s="46">
        <v>21</v>
      </c>
      <c r="AO918" s="46">
        <f>J918*0</f>
        <v>0</v>
      </c>
      <c r="AP918" s="46">
        <f>J918*(1-0)</f>
        <v>0</v>
      </c>
      <c r="AQ918" s="42" t="s">
        <v>1648</v>
      </c>
      <c r="AV918" s="46">
        <f>AW918+AX918</f>
        <v>0</v>
      </c>
      <c r="AW918" s="46">
        <f>I918*AO918</f>
        <v>0</v>
      </c>
      <c r="AX918" s="46">
        <f>I918*AP918</f>
        <v>0</v>
      </c>
      <c r="AY918" s="42" t="s">
        <v>179</v>
      </c>
      <c r="AZ918" s="42" t="s">
        <v>1850</v>
      </c>
      <c r="BA918" s="1" t="s">
        <v>630</v>
      </c>
      <c r="BC918" s="46">
        <f>AW918+AX918</f>
        <v>0</v>
      </c>
      <c r="BD918" s="46">
        <f>J918/(100-BE918)*100</f>
        <v>0</v>
      </c>
      <c r="BE918" s="46">
        <v>0</v>
      </c>
      <c r="BF918" s="46">
        <f>918</f>
        <v>918</v>
      </c>
      <c r="BH918" s="46">
        <f>I918*AO918</f>
        <v>0</v>
      </c>
      <c r="BI918" s="46">
        <f>I918*AP918</f>
        <v>0</v>
      </c>
      <c r="BJ918" s="46">
        <f>I918*J918</f>
        <v>0</v>
      </c>
      <c r="BK918" s="46"/>
      <c r="BL918" s="46">
        <v>11</v>
      </c>
    </row>
    <row r="919" spans="1:15" ht="15" customHeight="1">
      <c r="A919" s="10"/>
      <c r="D919" s="32" t="s">
        <v>275</v>
      </c>
      <c r="G919" s="32" t="s">
        <v>1163</v>
      </c>
      <c r="I919" s="58">
        <v>1580.0000000000002</v>
      </c>
      <c r="O919" s="30"/>
    </row>
    <row r="920" spans="1:64" ht="15" customHeight="1">
      <c r="A920" s="52" t="s">
        <v>1359</v>
      </c>
      <c r="B920" s="43" t="s">
        <v>1471</v>
      </c>
      <c r="C920" s="43" t="s">
        <v>683</v>
      </c>
      <c r="D920" s="61" t="s">
        <v>1096</v>
      </c>
      <c r="E920" s="61"/>
      <c r="F920" s="61"/>
      <c r="G920" s="61"/>
      <c r="H920" s="43" t="s">
        <v>1629</v>
      </c>
      <c r="I920" s="46">
        <v>898</v>
      </c>
      <c r="J920" s="46">
        <v>0</v>
      </c>
      <c r="K920" s="46">
        <f>I920*AO920</f>
        <v>0</v>
      </c>
      <c r="L920" s="46">
        <f>I920*AP920</f>
        <v>0</v>
      </c>
      <c r="M920" s="46">
        <f>I920*J920</f>
        <v>0</v>
      </c>
      <c r="N920" s="46">
        <v>0</v>
      </c>
      <c r="O920" s="6" t="s">
        <v>1149</v>
      </c>
      <c r="Z920" s="46">
        <f>IF(AQ920="5",BJ920,0)</f>
        <v>0</v>
      </c>
      <c r="AB920" s="46">
        <f>IF(AQ920="1",BH920,0)</f>
        <v>0</v>
      </c>
      <c r="AC920" s="46">
        <f>IF(AQ920="1",BI920,0)</f>
        <v>0</v>
      </c>
      <c r="AD920" s="46">
        <f>IF(AQ920="7",BH920,0)</f>
        <v>0</v>
      </c>
      <c r="AE920" s="46">
        <f>IF(AQ920="7",BI920,0)</f>
        <v>0</v>
      </c>
      <c r="AF920" s="46">
        <f>IF(AQ920="2",BH920,0)</f>
        <v>0</v>
      </c>
      <c r="AG920" s="46">
        <f>IF(AQ920="2",BI920,0)</f>
        <v>0</v>
      </c>
      <c r="AH920" s="46">
        <f>IF(AQ920="0",BJ920,0)</f>
        <v>0</v>
      </c>
      <c r="AI920" s="1" t="s">
        <v>1471</v>
      </c>
      <c r="AJ920" s="46">
        <f>IF(AN920=0,M920,0)</f>
        <v>0</v>
      </c>
      <c r="AK920" s="46">
        <f>IF(AN920=15,M920,0)</f>
        <v>0</v>
      </c>
      <c r="AL920" s="46">
        <f>IF(AN920=21,M920,0)</f>
        <v>0</v>
      </c>
      <c r="AN920" s="46">
        <v>21</v>
      </c>
      <c r="AO920" s="46">
        <f>J920*0.0219207592209834</f>
        <v>0</v>
      </c>
      <c r="AP920" s="46">
        <f>J920*(1-0.0219207592209834)</f>
        <v>0</v>
      </c>
      <c r="AQ920" s="42" t="s">
        <v>1648</v>
      </c>
      <c r="AV920" s="46">
        <f>AW920+AX920</f>
        <v>0</v>
      </c>
      <c r="AW920" s="46">
        <f>I920*AO920</f>
        <v>0</v>
      </c>
      <c r="AX920" s="46">
        <f>I920*AP920</f>
        <v>0</v>
      </c>
      <c r="AY920" s="42" t="s">
        <v>179</v>
      </c>
      <c r="AZ920" s="42" t="s">
        <v>1850</v>
      </c>
      <c r="BA920" s="1" t="s">
        <v>630</v>
      </c>
      <c r="BC920" s="46">
        <f>AW920+AX920</f>
        <v>0</v>
      </c>
      <c r="BD920" s="46">
        <f>J920/(100-BE920)*100</f>
        <v>0</v>
      </c>
      <c r="BE920" s="46">
        <v>0</v>
      </c>
      <c r="BF920" s="46">
        <f>920</f>
        <v>920</v>
      </c>
      <c r="BH920" s="46">
        <f>I920*AO920</f>
        <v>0</v>
      </c>
      <c r="BI920" s="46">
        <f>I920*AP920</f>
        <v>0</v>
      </c>
      <c r="BJ920" s="46">
        <f>I920*J920</f>
        <v>0</v>
      </c>
      <c r="BK920" s="46"/>
      <c r="BL920" s="46">
        <v>11</v>
      </c>
    </row>
    <row r="921" spans="1:15" ht="15" customHeight="1">
      <c r="A921" s="10"/>
      <c r="D921" s="32" t="s">
        <v>457</v>
      </c>
      <c r="G921" s="32" t="s">
        <v>1163</v>
      </c>
      <c r="I921" s="58">
        <v>0</v>
      </c>
      <c r="O921" s="30"/>
    </row>
    <row r="922" spans="1:15" ht="13.5" customHeight="1">
      <c r="A922" s="10"/>
      <c r="C922" s="36" t="s">
        <v>144</v>
      </c>
      <c r="D922" s="65" t="s">
        <v>865</v>
      </c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7"/>
    </row>
    <row r="923" spans="1:64" ht="15" customHeight="1">
      <c r="A923" s="52" t="s">
        <v>1386</v>
      </c>
      <c r="B923" s="43" t="s">
        <v>1471</v>
      </c>
      <c r="C923" s="43" t="s">
        <v>1710</v>
      </c>
      <c r="D923" s="61" t="s">
        <v>1172</v>
      </c>
      <c r="E923" s="61"/>
      <c r="F923" s="61"/>
      <c r="G923" s="61"/>
      <c r="H923" s="43" t="s">
        <v>1629</v>
      </c>
      <c r="I923" s="46">
        <v>1460</v>
      </c>
      <c r="J923" s="46">
        <v>0</v>
      </c>
      <c r="K923" s="46">
        <f>I923*AO923</f>
        <v>0</v>
      </c>
      <c r="L923" s="46">
        <f>I923*AP923</f>
        <v>0</v>
      </c>
      <c r="M923" s="46">
        <f>I923*J923</f>
        <v>0</v>
      </c>
      <c r="N923" s="46">
        <v>0</v>
      </c>
      <c r="O923" s="6" t="s">
        <v>1149</v>
      </c>
      <c r="Z923" s="46">
        <f>IF(AQ923="5",BJ923,0)</f>
        <v>0</v>
      </c>
      <c r="AB923" s="46">
        <f>IF(AQ923="1",BH923,0)</f>
        <v>0</v>
      </c>
      <c r="AC923" s="46">
        <f>IF(AQ923="1",BI923,0)</f>
        <v>0</v>
      </c>
      <c r="AD923" s="46">
        <f>IF(AQ923="7",BH923,0)</f>
        <v>0</v>
      </c>
      <c r="AE923" s="46">
        <f>IF(AQ923="7",BI923,0)</f>
        <v>0</v>
      </c>
      <c r="AF923" s="46">
        <f>IF(AQ923="2",BH923,0)</f>
        <v>0</v>
      </c>
      <c r="AG923" s="46">
        <f>IF(AQ923="2",BI923,0)</f>
        <v>0</v>
      </c>
      <c r="AH923" s="46">
        <f>IF(AQ923="0",BJ923,0)</f>
        <v>0</v>
      </c>
      <c r="AI923" s="1" t="s">
        <v>1471</v>
      </c>
      <c r="AJ923" s="46">
        <f>IF(AN923=0,M923,0)</f>
        <v>0</v>
      </c>
      <c r="AK923" s="46">
        <f>IF(AN923=15,M923,0)</f>
        <v>0</v>
      </c>
      <c r="AL923" s="46">
        <f>IF(AN923=21,M923,0)</f>
        <v>0</v>
      </c>
      <c r="AN923" s="46">
        <v>21</v>
      </c>
      <c r="AO923" s="46">
        <f>J923*0</f>
        <v>0</v>
      </c>
      <c r="AP923" s="46">
        <f>J923*(1-0)</f>
        <v>0</v>
      </c>
      <c r="AQ923" s="42" t="s">
        <v>1648</v>
      </c>
      <c r="AV923" s="46">
        <f>AW923+AX923</f>
        <v>0</v>
      </c>
      <c r="AW923" s="46">
        <f>I923*AO923</f>
        <v>0</v>
      </c>
      <c r="AX923" s="46">
        <f>I923*AP923</f>
        <v>0</v>
      </c>
      <c r="AY923" s="42" t="s">
        <v>179</v>
      </c>
      <c r="AZ923" s="42" t="s">
        <v>1850</v>
      </c>
      <c r="BA923" s="1" t="s">
        <v>630</v>
      </c>
      <c r="BC923" s="46">
        <f>AW923+AX923</f>
        <v>0</v>
      </c>
      <c r="BD923" s="46">
        <f>J923/(100-BE923)*100</f>
        <v>0</v>
      </c>
      <c r="BE923" s="46">
        <v>0</v>
      </c>
      <c r="BF923" s="46">
        <f>923</f>
        <v>923</v>
      </c>
      <c r="BH923" s="46">
        <f>I923*AO923</f>
        <v>0</v>
      </c>
      <c r="BI923" s="46">
        <f>I923*AP923</f>
        <v>0</v>
      </c>
      <c r="BJ923" s="46">
        <f>I923*J923</f>
        <v>0</v>
      </c>
      <c r="BK923" s="46"/>
      <c r="BL923" s="46">
        <v>11</v>
      </c>
    </row>
    <row r="924" spans="1:15" ht="15" customHeight="1">
      <c r="A924" s="10"/>
      <c r="D924" s="32" t="s">
        <v>984</v>
      </c>
      <c r="G924" s="32" t="s">
        <v>1163</v>
      </c>
      <c r="I924" s="58">
        <v>0</v>
      </c>
      <c r="O924" s="30"/>
    </row>
    <row r="925" spans="1:64" ht="15" customHeight="1">
      <c r="A925" s="52" t="s">
        <v>801</v>
      </c>
      <c r="B925" s="43" t="s">
        <v>1471</v>
      </c>
      <c r="C925" s="43" t="s">
        <v>475</v>
      </c>
      <c r="D925" s="61" t="s">
        <v>1238</v>
      </c>
      <c r="E925" s="61"/>
      <c r="F925" s="61"/>
      <c r="G925" s="61"/>
      <c r="H925" s="43" t="s">
        <v>1629</v>
      </c>
      <c r="I925" s="46">
        <v>510</v>
      </c>
      <c r="J925" s="46">
        <v>0</v>
      </c>
      <c r="K925" s="46">
        <f>I925*AO925</f>
        <v>0</v>
      </c>
      <c r="L925" s="46">
        <f>I925*AP925</f>
        <v>0</v>
      </c>
      <c r="M925" s="46">
        <f>I925*J925</f>
        <v>0</v>
      </c>
      <c r="N925" s="46">
        <v>0</v>
      </c>
      <c r="O925" s="6" t="s">
        <v>1149</v>
      </c>
      <c r="Z925" s="46">
        <f>IF(AQ925="5",BJ925,0)</f>
        <v>0</v>
      </c>
      <c r="AB925" s="46">
        <f>IF(AQ925="1",BH925,0)</f>
        <v>0</v>
      </c>
      <c r="AC925" s="46">
        <f>IF(AQ925="1",BI925,0)</f>
        <v>0</v>
      </c>
      <c r="AD925" s="46">
        <f>IF(AQ925="7",BH925,0)</f>
        <v>0</v>
      </c>
      <c r="AE925" s="46">
        <f>IF(AQ925="7",BI925,0)</f>
        <v>0</v>
      </c>
      <c r="AF925" s="46">
        <f>IF(AQ925="2",BH925,0)</f>
        <v>0</v>
      </c>
      <c r="AG925" s="46">
        <f>IF(AQ925="2",BI925,0)</f>
        <v>0</v>
      </c>
      <c r="AH925" s="46">
        <f>IF(AQ925="0",BJ925,0)</f>
        <v>0</v>
      </c>
      <c r="AI925" s="1" t="s">
        <v>1471</v>
      </c>
      <c r="AJ925" s="46">
        <f>IF(AN925=0,M925,0)</f>
        <v>0</v>
      </c>
      <c r="AK925" s="46">
        <f>IF(AN925=15,M925,0)</f>
        <v>0</v>
      </c>
      <c r="AL925" s="46">
        <f>IF(AN925=21,M925,0)</f>
        <v>0</v>
      </c>
      <c r="AN925" s="46">
        <v>21</v>
      </c>
      <c r="AO925" s="46">
        <f>J925*0</f>
        <v>0</v>
      </c>
      <c r="AP925" s="46">
        <f>J925*(1-0)</f>
        <v>0</v>
      </c>
      <c r="AQ925" s="42" t="s">
        <v>1648</v>
      </c>
      <c r="AV925" s="46">
        <f>AW925+AX925</f>
        <v>0</v>
      </c>
      <c r="AW925" s="46">
        <f>I925*AO925</f>
        <v>0</v>
      </c>
      <c r="AX925" s="46">
        <f>I925*AP925</f>
        <v>0</v>
      </c>
      <c r="AY925" s="42" t="s">
        <v>179</v>
      </c>
      <c r="AZ925" s="42" t="s">
        <v>1850</v>
      </c>
      <c r="BA925" s="1" t="s">
        <v>630</v>
      </c>
      <c r="BC925" s="46">
        <f>AW925+AX925</f>
        <v>0</v>
      </c>
      <c r="BD925" s="46">
        <f>J925/(100-BE925)*100</f>
        <v>0</v>
      </c>
      <c r="BE925" s="46">
        <v>0</v>
      </c>
      <c r="BF925" s="46">
        <f>925</f>
        <v>925</v>
      </c>
      <c r="BH925" s="46">
        <f>I925*AO925</f>
        <v>0</v>
      </c>
      <c r="BI925" s="46">
        <f>I925*AP925</f>
        <v>0</v>
      </c>
      <c r="BJ925" s="46">
        <f>I925*J925</f>
        <v>0</v>
      </c>
      <c r="BK925" s="46"/>
      <c r="BL925" s="46">
        <v>11</v>
      </c>
    </row>
    <row r="926" spans="1:15" ht="15" customHeight="1">
      <c r="A926" s="10"/>
      <c r="D926" s="32" t="s">
        <v>678</v>
      </c>
      <c r="G926" s="32" t="s">
        <v>1163</v>
      </c>
      <c r="I926" s="58">
        <v>510.00000000000006</v>
      </c>
      <c r="O926" s="30"/>
    </row>
    <row r="927" spans="1:64" ht="15" customHeight="1">
      <c r="A927" s="52" t="s">
        <v>1711</v>
      </c>
      <c r="B927" s="43" t="s">
        <v>1471</v>
      </c>
      <c r="C927" s="43" t="s">
        <v>1734</v>
      </c>
      <c r="D927" s="61" t="s">
        <v>690</v>
      </c>
      <c r="E927" s="61"/>
      <c r="F927" s="61"/>
      <c r="G927" s="61"/>
      <c r="H927" s="43" t="s">
        <v>1629</v>
      </c>
      <c r="I927" s="46">
        <v>25</v>
      </c>
      <c r="J927" s="46">
        <v>0</v>
      </c>
      <c r="K927" s="46">
        <f>I927*AO927</f>
        <v>0</v>
      </c>
      <c r="L927" s="46">
        <f>I927*AP927</f>
        <v>0</v>
      </c>
      <c r="M927" s="46">
        <f>I927*J927</f>
        <v>0</v>
      </c>
      <c r="N927" s="46">
        <v>0</v>
      </c>
      <c r="O927" s="6" t="s">
        <v>1149</v>
      </c>
      <c r="Z927" s="46">
        <f>IF(AQ927="5",BJ927,0)</f>
        <v>0</v>
      </c>
      <c r="AB927" s="46">
        <f>IF(AQ927="1",BH927,0)</f>
        <v>0</v>
      </c>
      <c r="AC927" s="46">
        <f>IF(AQ927="1",BI927,0)</f>
        <v>0</v>
      </c>
      <c r="AD927" s="46">
        <f>IF(AQ927="7",BH927,0)</f>
        <v>0</v>
      </c>
      <c r="AE927" s="46">
        <f>IF(AQ927="7",BI927,0)</f>
        <v>0</v>
      </c>
      <c r="AF927" s="46">
        <f>IF(AQ927="2",BH927,0)</f>
        <v>0</v>
      </c>
      <c r="AG927" s="46">
        <f>IF(AQ927="2",BI927,0)</f>
        <v>0</v>
      </c>
      <c r="AH927" s="46">
        <f>IF(AQ927="0",BJ927,0)</f>
        <v>0</v>
      </c>
      <c r="AI927" s="1" t="s">
        <v>1471</v>
      </c>
      <c r="AJ927" s="46">
        <f>IF(AN927=0,M927,0)</f>
        <v>0</v>
      </c>
      <c r="AK927" s="46">
        <f>IF(AN927=15,M927,0)</f>
        <v>0</v>
      </c>
      <c r="AL927" s="46">
        <f>IF(AN927=21,M927,0)</f>
        <v>0</v>
      </c>
      <c r="AN927" s="46">
        <v>21</v>
      </c>
      <c r="AO927" s="46">
        <f>J927*0</f>
        <v>0</v>
      </c>
      <c r="AP927" s="46">
        <f>J927*(1-0)</f>
        <v>0</v>
      </c>
      <c r="AQ927" s="42" t="s">
        <v>1648</v>
      </c>
      <c r="AV927" s="46">
        <f>AW927+AX927</f>
        <v>0</v>
      </c>
      <c r="AW927" s="46">
        <f>I927*AO927</f>
        <v>0</v>
      </c>
      <c r="AX927" s="46">
        <f>I927*AP927</f>
        <v>0</v>
      </c>
      <c r="AY927" s="42" t="s">
        <v>179</v>
      </c>
      <c r="AZ927" s="42" t="s">
        <v>1850</v>
      </c>
      <c r="BA927" s="1" t="s">
        <v>630</v>
      </c>
      <c r="BC927" s="46">
        <f>AW927+AX927</f>
        <v>0</v>
      </c>
      <c r="BD927" s="46">
        <f>J927/(100-BE927)*100</f>
        <v>0</v>
      </c>
      <c r="BE927" s="46">
        <v>0</v>
      </c>
      <c r="BF927" s="46">
        <f>927</f>
        <v>927</v>
      </c>
      <c r="BH927" s="46">
        <f>I927*AO927</f>
        <v>0</v>
      </c>
      <c r="BI927" s="46">
        <f>I927*AP927</f>
        <v>0</v>
      </c>
      <c r="BJ927" s="46">
        <f>I927*J927</f>
        <v>0</v>
      </c>
      <c r="BK927" s="46"/>
      <c r="BL927" s="46">
        <v>11</v>
      </c>
    </row>
    <row r="928" spans="1:15" ht="15" customHeight="1">
      <c r="A928" s="10"/>
      <c r="D928" s="32" t="s">
        <v>1014</v>
      </c>
      <c r="G928" s="32" t="s">
        <v>1163</v>
      </c>
      <c r="I928" s="58">
        <v>25.000000000000004</v>
      </c>
      <c r="O928" s="30"/>
    </row>
    <row r="929" spans="1:47" ht="15" customHeight="1">
      <c r="A929" s="3" t="s">
        <v>1163</v>
      </c>
      <c r="B929" s="9" t="s">
        <v>1471</v>
      </c>
      <c r="C929" s="9" t="s">
        <v>472</v>
      </c>
      <c r="D929" s="64" t="s">
        <v>16</v>
      </c>
      <c r="E929" s="64"/>
      <c r="F929" s="64"/>
      <c r="G929" s="64"/>
      <c r="H929" s="41" t="s">
        <v>1537</v>
      </c>
      <c r="I929" s="41" t="s">
        <v>1537</v>
      </c>
      <c r="J929" s="41" t="s">
        <v>1537</v>
      </c>
      <c r="K929" s="50">
        <f>SUM(K930:K930)</f>
        <v>0</v>
      </c>
      <c r="L929" s="50">
        <f>SUM(L930:L930)</f>
        <v>0</v>
      </c>
      <c r="M929" s="50">
        <f>SUM(M930:M930)</f>
        <v>0</v>
      </c>
      <c r="N929" s="1" t="s">
        <v>1163</v>
      </c>
      <c r="O929" s="45" t="s">
        <v>1163</v>
      </c>
      <c r="AI929" s="1" t="s">
        <v>1471</v>
      </c>
      <c r="AS929" s="50">
        <f>SUM(AJ930:AJ930)</f>
        <v>0</v>
      </c>
      <c r="AT929" s="50">
        <f>SUM(AK930:AK930)</f>
        <v>0</v>
      </c>
      <c r="AU929" s="50">
        <f>SUM(AL930:AL930)</f>
        <v>0</v>
      </c>
    </row>
    <row r="930" spans="1:64" ht="15" customHeight="1">
      <c r="A930" s="52" t="s">
        <v>702</v>
      </c>
      <c r="B930" s="43" t="s">
        <v>1471</v>
      </c>
      <c r="C930" s="43" t="s">
        <v>1285</v>
      </c>
      <c r="D930" s="61" t="s">
        <v>604</v>
      </c>
      <c r="E930" s="61"/>
      <c r="F930" s="61"/>
      <c r="G930" s="61"/>
      <c r="H930" s="43" t="s">
        <v>1604</v>
      </c>
      <c r="I930" s="46">
        <v>311.5</v>
      </c>
      <c r="J930" s="46">
        <v>0</v>
      </c>
      <c r="K930" s="46">
        <f>I930*AO930</f>
        <v>0</v>
      </c>
      <c r="L930" s="46">
        <f>I930*AP930</f>
        <v>0</v>
      </c>
      <c r="M930" s="46">
        <f>I930*J930</f>
        <v>0</v>
      </c>
      <c r="N930" s="46">
        <v>0</v>
      </c>
      <c r="O930" s="6" t="s">
        <v>1149</v>
      </c>
      <c r="Z930" s="46">
        <f>IF(AQ930="5",BJ930,0)</f>
        <v>0</v>
      </c>
      <c r="AB930" s="46">
        <f>IF(AQ930="1",BH930,0)</f>
        <v>0</v>
      </c>
      <c r="AC930" s="46">
        <f>IF(AQ930="1",BI930,0)</f>
        <v>0</v>
      </c>
      <c r="AD930" s="46">
        <f>IF(AQ930="7",BH930,0)</f>
        <v>0</v>
      </c>
      <c r="AE930" s="46">
        <f>IF(AQ930="7",BI930,0)</f>
        <v>0</v>
      </c>
      <c r="AF930" s="46">
        <f>IF(AQ930="2",BH930,0)</f>
        <v>0</v>
      </c>
      <c r="AG930" s="46">
        <f>IF(AQ930="2",BI930,0)</f>
        <v>0</v>
      </c>
      <c r="AH930" s="46">
        <f>IF(AQ930="0",BJ930,0)</f>
        <v>0</v>
      </c>
      <c r="AI930" s="1" t="s">
        <v>1471</v>
      </c>
      <c r="AJ930" s="46">
        <f>IF(AN930=0,M930,0)</f>
        <v>0</v>
      </c>
      <c r="AK930" s="46">
        <f>IF(AN930=15,M930,0)</f>
        <v>0</v>
      </c>
      <c r="AL930" s="46">
        <f>IF(AN930=21,M930,0)</f>
        <v>0</v>
      </c>
      <c r="AN930" s="46">
        <v>21</v>
      </c>
      <c r="AO930" s="46">
        <f>J930*0</f>
        <v>0</v>
      </c>
      <c r="AP930" s="46">
        <f>J930*(1-0)</f>
        <v>0</v>
      </c>
      <c r="AQ930" s="42" t="s">
        <v>1648</v>
      </c>
      <c r="AV930" s="46">
        <f>AW930+AX930</f>
        <v>0</v>
      </c>
      <c r="AW930" s="46">
        <f>I930*AO930</f>
        <v>0</v>
      </c>
      <c r="AX930" s="46">
        <f>I930*AP930</f>
        <v>0</v>
      </c>
      <c r="AY930" s="42" t="s">
        <v>1498</v>
      </c>
      <c r="AZ930" s="42" t="s">
        <v>1850</v>
      </c>
      <c r="BA930" s="1" t="s">
        <v>630</v>
      </c>
      <c r="BC930" s="46">
        <f>AW930+AX930</f>
        <v>0</v>
      </c>
      <c r="BD930" s="46">
        <f>J930/(100-BE930)*100</f>
        <v>0</v>
      </c>
      <c r="BE930" s="46">
        <v>0</v>
      </c>
      <c r="BF930" s="46">
        <f>930</f>
        <v>930</v>
      </c>
      <c r="BH930" s="46">
        <f>I930*AO930</f>
        <v>0</v>
      </c>
      <c r="BI930" s="46">
        <f>I930*AP930</f>
        <v>0</v>
      </c>
      <c r="BJ930" s="46">
        <f>I930*J930</f>
        <v>0</v>
      </c>
      <c r="BK930" s="46"/>
      <c r="BL930" s="46">
        <v>13</v>
      </c>
    </row>
    <row r="931" spans="1:15" ht="15" customHeight="1">
      <c r="A931" s="10"/>
      <c r="D931" s="32" t="s">
        <v>656</v>
      </c>
      <c r="G931" s="32" t="s">
        <v>1163</v>
      </c>
      <c r="I931" s="58">
        <v>311.5</v>
      </c>
      <c r="O931" s="30"/>
    </row>
    <row r="932" spans="1:47" ht="15" customHeight="1">
      <c r="A932" s="3" t="s">
        <v>1163</v>
      </c>
      <c r="B932" s="9" t="s">
        <v>1471</v>
      </c>
      <c r="C932" s="9" t="s">
        <v>1063</v>
      </c>
      <c r="D932" s="64" t="s">
        <v>1529</v>
      </c>
      <c r="E932" s="64"/>
      <c r="F932" s="64"/>
      <c r="G932" s="64"/>
      <c r="H932" s="41" t="s">
        <v>1537</v>
      </c>
      <c r="I932" s="41" t="s">
        <v>1537</v>
      </c>
      <c r="J932" s="41" t="s">
        <v>1537</v>
      </c>
      <c r="K932" s="50">
        <f>SUM(K933:K937)</f>
        <v>0</v>
      </c>
      <c r="L932" s="50">
        <f>SUM(L933:L937)</f>
        <v>0</v>
      </c>
      <c r="M932" s="50">
        <f>SUM(M933:M937)</f>
        <v>0</v>
      </c>
      <c r="N932" s="1" t="s">
        <v>1163</v>
      </c>
      <c r="O932" s="45" t="s">
        <v>1163</v>
      </c>
      <c r="AI932" s="1" t="s">
        <v>1471</v>
      </c>
      <c r="AS932" s="50">
        <f>SUM(AJ933:AJ937)</f>
        <v>0</v>
      </c>
      <c r="AT932" s="50">
        <f>SUM(AK933:AK937)</f>
        <v>0</v>
      </c>
      <c r="AU932" s="50">
        <f>SUM(AL933:AL937)</f>
        <v>0</v>
      </c>
    </row>
    <row r="933" spans="1:64" ht="15" customHeight="1">
      <c r="A933" s="52" t="s">
        <v>1107</v>
      </c>
      <c r="B933" s="43" t="s">
        <v>1471</v>
      </c>
      <c r="C933" s="43" t="s">
        <v>892</v>
      </c>
      <c r="D933" s="61" t="s">
        <v>1533</v>
      </c>
      <c r="E933" s="61"/>
      <c r="F933" s="61"/>
      <c r="G933" s="61"/>
      <c r="H933" s="43" t="s">
        <v>1629</v>
      </c>
      <c r="I933" s="46">
        <v>552</v>
      </c>
      <c r="J933" s="46">
        <v>0</v>
      </c>
      <c r="K933" s="46">
        <f>I933*AO933</f>
        <v>0</v>
      </c>
      <c r="L933" s="46">
        <f>I933*AP933</f>
        <v>0</v>
      </c>
      <c r="M933" s="46">
        <f>I933*J933</f>
        <v>0</v>
      </c>
      <c r="N933" s="46">
        <v>0.18463</v>
      </c>
      <c r="O933" s="6" t="s">
        <v>1149</v>
      </c>
      <c r="Z933" s="46">
        <f>IF(AQ933="5",BJ933,0)</f>
        <v>0</v>
      </c>
      <c r="AB933" s="46">
        <f>IF(AQ933="1",BH933,0)</f>
        <v>0</v>
      </c>
      <c r="AC933" s="46">
        <f>IF(AQ933="1",BI933,0)</f>
        <v>0</v>
      </c>
      <c r="AD933" s="46">
        <f>IF(AQ933="7",BH933,0)</f>
        <v>0</v>
      </c>
      <c r="AE933" s="46">
        <f>IF(AQ933="7",BI933,0)</f>
        <v>0</v>
      </c>
      <c r="AF933" s="46">
        <f>IF(AQ933="2",BH933,0)</f>
        <v>0</v>
      </c>
      <c r="AG933" s="46">
        <f>IF(AQ933="2",BI933,0)</f>
        <v>0</v>
      </c>
      <c r="AH933" s="46">
        <f>IF(AQ933="0",BJ933,0)</f>
        <v>0</v>
      </c>
      <c r="AI933" s="1" t="s">
        <v>1471</v>
      </c>
      <c r="AJ933" s="46">
        <f>IF(AN933=0,M933,0)</f>
        <v>0</v>
      </c>
      <c r="AK933" s="46">
        <f>IF(AN933=15,M933,0)</f>
        <v>0</v>
      </c>
      <c r="AL933" s="46">
        <f>IF(AN933=21,M933,0)</f>
        <v>0</v>
      </c>
      <c r="AN933" s="46">
        <v>21</v>
      </c>
      <c r="AO933" s="46">
        <f>J933*0.803358925143954</f>
        <v>0</v>
      </c>
      <c r="AP933" s="46">
        <f>J933*(1-0.803358925143954)</f>
        <v>0</v>
      </c>
      <c r="AQ933" s="42" t="s">
        <v>1648</v>
      </c>
      <c r="AV933" s="46">
        <f>AW933+AX933</f>
        <v>0</v>
      </c>
      <c r="AW933" s="46">
        <f>I933*AO933</f>
        <v>0</v>
      </c>
      <c r="AX933" s="46">
        <f>I933*AP933</f>
        <v>0</v>
      </c>
      <c r="AY933" s="42" t="s">
        <v>1727</v>
      </c>
      <c r="AZ933" s="42" t="s">
        <v>1375</v>
      </c>
      <c r="BA933" s="1" t="s">
        <v>630</v>
      </c>
      <c r="BC933" s="46">
        <f>AW933+AX933</f>
        <v>0</v>
      </c>
      <c r="BD933" s="46">
        <f>J933/(100-BE933)*100</f>
        <v>0</v>
      </c>
      <c r="BE933" s="46">
        <v>0</v>
      </c>
      <c r="BF933" s="46">
        <f>933</f>
        <v>933</v>
      </c>
      <c r="BH933" s="46">
        <f>I933*AO933</f>
        <v>0</v>
      </c>
      <c r="BI933" s="46">
        <f>I933*AP933</f>
        <v>0</v>
      </c>
      <c r="BJ933" s="46">
        <f>I933*J933</f>
        <v>0</v>
      </c>
      <c r="BK933" s="46"/>
      <c r="BL933" s="46">
        <v>56</v>
      </c>
    </row>
    <row r="934" spans="1:15" ht="15" customHeight="1">
      <c r="A934" s="10"/>
      <c r="D934" s="32" t="s">
        <v>601</v>
      </c>
      <c r="G934" s="32" t="s">
        <v>1163</v>
      </c>
      <c r="I934" s="58">
        <v>552</v>
      </c>
      <c r="O934" s="30"/>
    </row>
    <row r="935" spans="1:64" ht="15" customHeight="1">
      <c r="A935" s="52" t="s">
        <v>1576</v>
      </c>
      <c r="B935" s="43" t="s">
        <v>1471</v>
      </c>
      <c r="C935" s="43" t="s">
        <v>83</v>
      </c>
      <c r="D935" s="61" t="s">
        <v>1585</v>
      </c>
      <c r="E935" s="61"/>
      <c r="F935" s="61"/>
      <c r="G935" s="61"/>
      <c r="H935" s="43" t="s">
        <v>1629</v>
      </c>
      <c r="I935" s="46">
        <v>540</v>
      </c>
      <c r="J935" s="46">
        <v>0</v>
      </c>
      <c r="K935" s="46">
        <f>I935*AO935</f>
        <v>0</v>
      </c>
      <c r="L935" s="46">
        <f>I935*AP935</f>
        <v>0</v>
      </c>
      <c r="M935" s="46">
        <f>I935*J935</f>
        <v>0</v>
      </c>
      <c r="N935" s="46">
        <v>0.378</v>
      </c>
      <c r="O935" s="6" t="s">
        <v>1149</v>
      </c>
      <c r="Z935" s="46">
        <f>IF(AQ935="5",BJ935,0)</f>
        <v>0</v>
      </c>
      <c r="AB935" s="46">
        <f>IF(AQ935="1",BH935,0)</f>
        <v>0</v>
      </c>
      <c r="AC935" s="46">
        <f>IF(AQ935="1",BI935,0)</f>
        <v>0</v>
      </c>
      <c r="AD935" s="46">
        <f>IF(AQ935="7",BH935,0)</f>
        <v>0</v>
      </c>
      <c r="AE935" s="46">
        <f>IF(AQ935="7",BI935,0)</f>
        <v>0</v>
      </c>
      <c r="AF935" s="46">
        <f>IF(AQ935="2",BH935,0)</f>
        <v>0</v>
      </c>
      <c r="AG935" s="46">
        <f>IF(AQ935="2",BI935,0)</f>
        <v>0</v>
      </c>
      <c r="AH935" s="46">
        <f>IF(AQ935="0",BJ935,0)</f>
        <v>0</v>
      </c>
      <c r="AI935" s="1" t="s">
        <v>1471</v>
      </c>
      <c r="AJ935" s="46">
        <f>IF(AN935=0,M935,0)</f>
        <v>0</v>
      </c>
      <c r="AK935" s="46">
        <f>IF(AN935=15,M935,0)</f>
        <v>0</v>
      </c>
      <c r="AL935" s="46">
        <f>IF(AN935=21,M935,0)</f>
        <v>0</v>
      </c>
      <c r="AN935" s="46">
        <v>21</v>
      </c>
      <c r="AO935" s="46">
        <f>J935*0.843549618320611</f>
        <v>0</v>
      </c>
      <c r="AP935" s="46">
        <f>J935*(1-0.843549618320611)</f>
        <v>0</v>
      </c>
      <c r="AQ935" s="42" t="s">
        <v>1648</v>
      </c>
      <c r="AV935" s="46">
        <f>AW935+AX935</f>
        <v>0</v>
      </c>
      <c r="AW935" s="46">
        <f>I935*AO935</f>
        <v>0</v>
      </c>
      <c r="AX935" s="46">
        <f>I935*AP935</f>
        <v>0</v>
      </c>
      <c r="AY935" s="42" t="s">
        <v>1727</v>
      </c>
      <c r="AZ935" s="42" t="s">
        <v>1375</v>
      </c>
      <c r="BA935" s="1" t="s">
        <v>630</v>
      </c>
      <c r="BC935" s="46">
        <f>AW935+AX935</f>
        <v>0</v>
      </c>
      <c r="BD935" s="46">
        <f>J935/(100-BE935)*100</f>
        <v>0</v>
      </c>
      <c r="BE935" s="46">
        <v>0</v>
      </c>
      <c r="BF935" s="46">
        <f>935</f>
        <v>935</v>
      </c>
      <c r="BH935" s="46">
        <f>I935*AO935</f>
        <v>0</v>
      </c>
      <c r="BI935" s="46">
        <f>I935*AP935</f>
        <v>0</v>
      </c>
      <c r="BJ935" s="46">
        <f>I935*J935</f>
        <v>0</v>
      </c>
      <c r="BK935" s="46"/>
      <c r="BL935" s="46">
        <v>56</v>
      </c>
    </row>
    <row r="936" spans="1:15" ht="15" customHeight="1">
      <c r="A936" s="10"/>
      <c r="D936" s="32" t="s">
        <v>547</v>
      </c>
      <c r="G936" s="32" t="s">
        <v>1143</v>
      </c>
      <c r="I936" s="58">
        <v>540</v>
      </c>
      <c r="O936" s="30"/>
    </row>
    <row r="937" spans="1:64" ht="15" customHeight="1">
      <c r="A937" s="52" t="s">
        <v>1301</v>
      </c>
      <c r="B937" s="43" t="s">
        <v>1471</v>
      </c>
      <c r="C937" s="43" t="s">
        <v>83</v>
      </c>
      <c r="D937" s="61" t="s">
        <v>1585</v>
      </c>
      <c r="E937" s="61"/>
      <c r="F937" s="61"/>
      <c r="G937" s="61"/>
      <c r="H937" s="43" t="s">
        <v>1629</v>
      </c>
      <c r="I937" s="46">
        <v>540</v>
      </c>
      <c r="J937" s="46">
        <v>0</v>
      </c>
      <c r="K937" s="46">
        <f>I937*AO937</f>
        <v>0</v>
      </c>
      <c r="L937" s="46">
        <f>I937*AP937</f>
        <v>0</v>
      </c>
      <c r="M937" s="46">
        <f>I937*J937</f>
        <v>0</v>
      </c>
      <c r="N937" s="46">
        <v>0.378</v>
      </c>
      <c r="O937" s="6" t="s">
        <v>1149</v>
      </c>
      <c r="Z937" s="46">
        <f>IF(AQ937="5",BJ937,0)</f>
        <v>0</v>
      </c>
      <c r="AB937" s="46">
        <f>IF(AQ937="1",BH937,0)</f>
        <v>0</v>
      </c>
      <c r="AC937" s="46">
        <f>IF(AQ937="1",BI937,0)</f>
        <v>0</v>
      </c>
      <c r="AD937" s="46">
        <f>IF(AQ937="7",BH937,0)</f>
        <v>0</v>
      </c>
      <c r="AE937" s="46">
        <f>IF(AQ937="7",BI937,0)</f>
        <v>0</v>
      </c>
      <c r="AF937" s="46">
        <f>IF(AQ937="2",BH937,0)</f>
        <v>0</v>
      </c>
      <c r="AG937" s="46">
        <f>IF(AQ937="2",BI937,0)</f>
        <v>0</v>
      </c>
      <c r="AH937" s="46">
        <f>IF(AQ937="0",BJ937,0)</f>
        <v>0</v>
      </c>
      <c r="AI937" s="1" t="s">
        <v>1471</v>
      </c>
      <c r="AJ937" s="46">
        <f>IF(AN937=0,M937,0)</f>
        <v>0</v>
      </c>
      <c r="AK937" s="46">
        <f>IF(AN937=15,M937,0)</f>
        <v>0</v>
      </c>
      <c r="AL937" s="46">
        <f>IF(AN937=21,M937,0)</f>
        <v>0</v>
      </c>
      <c r="AN937" s="46">
        <v>21</v>
      </c>
      <c r="AO937" s="46">
        <f>J937*0.843549618320611</f>
        <v>0</v>
      </c>
      <c r="AP937" s="46">
        <f>J937*(1-0.843549618320611)</f>
        <v>0</v>
      </c>
      <c r="AQ937" s="42" t="s">
        <v>1648</v>
      </c>
      <c r="AV937" s="46">
        <f>AW937+AX937</f>
        <v>0</v>
      </c>
      <c r="AW937" s="46">
        <f>I937*AO937</f>
        <v>0</v>
      </c>
      <c r="AX937" s="46">
        <f>I937*AP937</f>
        <v>0</v>
      </c>
      <c r="AY937" s="42" t="s">
        <v>1727</v>
      </c>
      <c r="AZ937" s="42" t="s">
        <v>1375</v>
      </c>
      <c r="BA937" s="1" t="s">
        <v>630</v>
      </c>
      <c r="BC937" s="46">
        <f>AW937+AX937</f>
        <v>0</v>
      </c>
      <c r="BD937" s="46">
        <f>J937/(100-BE937)*100</f>
        <v>0</v>
      </c>
      <c r="BE937" s="46">
        <v>0</v>
      </c>
      <c r="BF937" s="46">
        <f>937</f>
        <v>937</v>
      </c>
      <c r="BH937" s="46">
        <f>I937*AO937</f>
        <v>0</v>
      </c>
      <c r="BI937" s="46">
        <f>I937*AP937</f>
        <v>0</v>
      </c>
      <c r="BJ937" s="46">
        <f>I937*J937</f>
        <v>0</v>
      </c>
      <c r="BK937" s="46"/>
      <c r="BL937" s="46">
        <v>56</v>
      </c>
    </row>
    <row r="938" spans="1:15" ht="15" customHeight="1">
      <c r="A938" s="10"/>
      <c r="D938" s="32" t="s">
        <v>547</v>
      </c>
      <c r="G938" s="32" t="s">
        <v>1143</v>
      </c>
      <c r="I938" s="58">
        <v>540</v>
      </c>
      <c r="O938" s="30"/>
    </row>
    <row r="939" spans="1:47" ht="15" customHeight="1">
      <c r="A939" s="3" t="s">
        <v>1163</v>
      </c>
      <c r="B939" s="9" t="s">
        <v>1471</v>
      </c>
      <c r="C939" s="9" t="s">
        <v>1581</v>
      </c>
      <c r="D939" s="64" t="s">
        <v>1120</v>
      </c>
      <c r="E939" s="64"/>
      <c r="F939" s="64"/>
      <c r="G939" s="64"/>
      <c r="H939" s="41" t="s">
        <v>1537</v>
      </c>
      <c r="I939" s="41" t="s">
        <v>1537</v>
      </c>
      <c r="J939" s="41" t="s">
        <v>1537</v>
      </c>
      <c r="K939" s="50">
        <f>SUM(K940:K944)</f>
        <v>0</v>
      </c>
      <c r="L939" s="50">
        <f>SUM(L940:L944)</f>
        <v>0</v>
      </c>
      <c r="M939" s="50">
        <f>SUM(M940:M944)</f>
        <v>0</v>
      </c>
      <c r="N939" s="1" t="s">
        <v>1163</v>
      </c>
      <c r="O939" s="45" t="s">
        <v>1163</v>
      </c>
      <c r="AI939" s="1" t="s">
        <v>1471</v>
      </c>
      <c r="AS939" s="50">
        <f>SUM(AJ940:AJ944)</f>
        <v>0</v>
      </c>
      <c r="AT939" s="50">
        <f>SUM(AK940:AK944)</f>
        <v>0</v>
      </c>
      <c r="AU939" s="50">
        <f>SUM(AL940:AL944)</f>
        <v>0</v>
      </c>
    </row>
    <row r="940" spans="1:64" ht="15" customHeight="1">
      <c r="A940" s="52" t="s">
        <v>778</v>
      </c>
      <c r="B940" s="43" t="s">
        <v>1471</v>
      </c>
      <c r="C940" s="43" t="s">
        <v>1478</v>
      </c>
      <c r="D940" s="61" t="s">
        <v>1542</v>
      </c>
      <c r="E940" s="61"/>
      <c r="F940" s="61"/>
      <c r="G940" s="61"/>
      <c r="H940" s="43" t="s">
        <v>1629</v>
      </c>
      <c r="I940" s="46">
        <v>552</v>
      </c>
      <c r="J940" s="46">
        <v>0</v>
      </c>
      <c r="K940" s="46">
        <f>I940*AO940</f>
        <v>0</v>
      </c>
      <c r="L940" s="46">
        <f>I940*AP940</f>
        <v>0</v>
      </c>
      <c r="M940" s="46">
        <f>I940*J940</f>
        <v>0</v>
      </c>
      <c r="N940" s="46">
        <v>0.00561</v>
      </c>
      <c r="O940" s="6" t="s">
        <v>1149</v>
      </c>
      <c r="Z940" s="46">
        <f>IF(AQ940="5",BJ940,0)</f>
        <v>0</v>
      </c>
      <c r="AB940" s="46">
        <f>IF(AQ940="1",BH940,0)</f>
        <v>0</v>
      </c>
      <c r="AC940" s="46">
        <f>IF(AQ940="1",BI940,0)</f>
        <v>0</v>
      </c>
      <c r="AD940" s="46">
        <f>IF(AQ940="7",BH940,0)</f>
        <v>0</v>
      </c>
      <c r="AE940" s="46">
        <f>IF(AQ940="7",BI940,0)</f>
        <v>0</v>
      </c>
      <c r="AF940" s="46">
        <f>IF(AQ940="2",BH940,0)</f>
        <v>0</v>
      </c>
      <c r="AG940" s="46">
        <f>IF(AQ940="2",BI940,0)</f>
        <v>0</v>
      </c>
      <c r="AH940" s="46">
        <f>IF(AQ940="0",BJ940,0)</f>
        <v>0</v>
      </c>
      <c r="AI940" s="1" t="s">
        <v>1471</v>
      </c>
      <c r="AJ940" s="46">
        <f>IF(AN940=0,M940,0)</f>
        <v>0</v>
      </c>
      <c r="AK940" s="46">
        <f>IF(AN940=15,M940,0)</f>
        <v>0</v>
      </c>
      <c r="AL940" s="46">
        <f>IF(AN940=21,M940,0)</f>
        <v>0</v>
      </c>
      <c r="AN940" s="46">
        <v>21</v>
      </c>
      <c r="AO940" s="46">
        <f>J940*0.88329592818211</f>
        <v>0</v>
      </c>
      <c r="AP940" s="46">
        <f>J940*(1-0.88329592818211)</f>
        <v>0</v>
      </c>
      <c r="AQ940" s="42" t="s">
        <v>1648</v>
      </c>
      <c r="AV940" s="46">
        <f>AW940+AX940</f>
        <v>0</v>
      </c>
      <c r="AW940" s="46">
        <f>I940*AO940</f>
        <v>0</v>
      </c>
      <c r="AX940" s="46">
        <f>I940*AP940</f>
        <v>0</v>
      </c>
      <c r="AY940" s="42" t="s">
        <v>648</v>
      </c>
      <c r="AZ940" s="42" t="s">
        <v>1375</v>
      </c>
      <c r="BA940" s="1" t="s">
        <v>630</v>
      </c>
      <c r="BC940" s="46">
        <f>AW940+AX940</f>
        <v>0</v>
      </c>
      <c r="BD940" s="46">
        <f>J940/(100-BE940)*100</f>
        <v>0</v>
      </c>
      <c r="BE940" s="46">
        <v>0</v>
      </c>
      <c r="BF940" s="46">
        <f>940</f>
        <v>940</v>
      </c>
      <c r="BH940" s="46">
        <f>I940*AO940</f>
        <v>0</v>
      </c>
      <c r="BI940" s="46">
        <f>I940*AP940</f>
        <v>0</v>
      </c>
      <c r="BJ940" s="46">
        <f>I940*J940</f>
        <v>0</v>
      </c>
      <c r="BK940" s="46"/>
      <c r="BL940" s="46">
        <v>57</v>
      </c>
    </row>
    <row r="941" spans="1:15" ht="15" customHeight="1">
      <c r="A941" s="10"/>
      <c r="D941" s="32" t="s">
        <v>601</v>
      </c>
      <c r="G941" s="32" t="s">
        <v>1163</v>
      </c>
      <c r="I941" s="58">
        <v>552</v>
      </c>
      <c r="O941" s="30"/>
    </row>
    <row r="942" spans="1:64" ht="15" customHeight="1">
      <c r="A942" s="52" t="s">
        <v>1174</v>
      </c>
      <c r="B942" s="43" t="s">
        <v>1471</v>
      </c>
      <c r="C942" s="43" t="s">
        <v>532</v>
      </c>
      <c r="D942" s="61" t="s">
        <v>1462</v>
      </c>
      <c r="E942" s="61"/>
      <c r="F942" s="61"/>
      <c r="G942" s="61"/>
      <c r="H942" s="43" t="s">
        <v>1629</v>
      </c>
      <c r="I942" s="46">
        <v>552</v>
      </c>
      <c r="J942" s="46">
        <v>0</v>
      </c>
      <c r="K942" s="46">
        <f>I942*AO942</f>
        <v>0</v>
      </c>
      <c r="L942" s="46">
        <f>I942*AP942</f>
        <v>0</v>
      </c>
      <c r="M942" s="46">
        <f>I942*J942</f>
        <v>0</v>
      </c>
      <c r="N942" s="46">
        <v>0.10373</v>
      </c>
      <c r="O942" s="6" t="s">
        <v>1149</v>
      </c>
      <c r="Z942" s="46">
        <f>IF(AQ942="5",BJ942,0)</f>
        <v>0</v>
      </c>
      <c r="AB942" s="46">
        <f>IF(AQ942="1",BH942,0)</f>
        <v>0</v>
      </c>
      <c r="AC942" s="46">
        <f>IF(AQ942="1",BI942,0)</f>
        <v>0</v>
      </c>
      <c r="AD942" s="46">
        <f>IF(AQ942="7",BH942,0)</f>
        <v>0</v>
      </c>
      <c r="AE942" s="46">
        <f>IF(AQ942="7",BI942,0)</f>
        <v>0</v>
      </c>
      <c r="AF942" s="46">
        <f>IF(AQ942="2",BH942,0)</f>
        <v>0</v>
      </c>
      <c r="AG942" s="46">
        <f>IF(AQ942="2",BI942,0)</f>
        <v>0</v>
      </c>
      <c r="AH942" s="46">
        <f>IF(AQ942="0",BJ942,0)</f>
        <v>0</v>
      </c>
      <c r="AI942" s="1" t="s">
        <v>1471</v>
      </c>
      <c r="AJ942" s="46">
        <f>IF(AN942=0,M942,0)</f>
        <v>0</v>
      </c>
      <c r="AK942" s="46">
        <f>IF(AN942=15,M942,0)</f>
        <v>0</v>
      </c>
      <c r="AL942" s="46">
        <f>IF(AN942=21,M942,0)</f>
        <v>0</v>
      </c>
      <c r="AN942" s="46">
        <v>21</v>
      </c>
      <c r="AO942" s="46">
        <f>J942*0.904897196261682</f>
        <v>0</v>
      </c>
      <c r="AP942" s="46">
        <f>J942*(1-0.904897196261682)</f>
        <v>0</v>
      </c>
      <c r="AQ942" s="42" t="s">
        <v>1648</v>
      </c>
      <c r="AV942" s="46">
        <f>AW942+AX942</f>
        <v>0</v>
      </c>
      <c r="AW942" s="46">
        <f>I942*AO942</f>
        <v>0</v>
      </c>
      <c r="AX942" s="46">
        <f>I942*AP942</f>
        <v>0</v>
      </c>
      <c r="AY942" s="42" t="s">
        <v>648</v>
      </c>
      <c r="AZ942" s="42" t="s">
        <v>1375</v>
      </c>
      <c r="BA942" s="1" t="s">
        <v>630</v>
      </c>
      <c r="BC942" s="46">
        <f>AW942+AX942</f>
        <v>0</v>
      </c>
      <c r="BD942" s="46">
        <f>J942/(100-BE942)*100</f>
        <v>0</v>
      </c>
      <c r="BE942" s="46">
        <v>0</v>
      </c>
      <c r="BF942" s="46">
        <f>942</f>
        <v>942</v>
      </c>
      <c r="BH942" s="46">
        <f>I942*AO942</f>
        <v>0</v>
      </c>
      <c r="BI942" s="46">
        <f>I942*AP942</f>
        <v>0</v>
      </c>
      <c r="BJ942" s="46">
        <f>I942*J942</f>
        <v>0</v>
      </c>
      <c r="BK942" s="46"/>
      <c r="BL942" s="46">
        <v>57</v>
      </c>
    </row>
    <row r="943" spans="1:15" ht="15" customHeight="1">
      <c r="A943" s="10"/>
      <c r="D943" s="32" t="s">
        <v>601</v>
      </c>
      <c r="G943" s="32" t="s">
        <v>1163</v>
      </c>
      <c r="I943" s="58">
        <v>552</v>
      </c>
      <c r="O943" s="30"/>
    </row>
    <row r="944" spans="1:64" ht="15" customHeight="1">
      <c r="A944" s="52" t="s">
        <v>1510</v>
      </c>
      <c r="B944" s="43" t="s">
        <v>1471</v>
      </c>
      <c r="C944" s="43" t="s">
        <v>1251</v>
      </c>
      <c r="D944" s="61" t="s">
        <v>510</v>
      </c>
      <c r="E944" s="61"/>
      <c r="F944" s="61"/>
      <c r="G944" s="61"/>
      <c r="H944" s="43" t="s">
        <v>1629</v>
      </c>
      <c r="I944" s="46">
        <v>552</v>
      </c>
      <c r="J944" s="46">
        <v>0</v>
      </c>
      <c r="K944" s="46">
        <f>I944*AO944</f>
        <v>0</v>
      </c>
      <c r="L944" s="46">
        <f>I944*AP944</f>
        <v>0</v>
      </c>
      <c r="M944" s="46">
        <f>I944*J944</f>
        <v>0</v>
      </c>
      <c r="N944" s="46">
        <v>0.0004</v>
      </c>
      <c r="O944" s="6" t="s">
        <v>1149</v>
      </c>
      <c r="Z944" s="46">
        <f>IF(AQ944="5",BJ944,0)</f>
        <v>0</v>
      </c>
      <c r="AB944" s="46">
        <f>IF(AQ944="1",BH944,0)</f>
        <v>0</v>
      </c>
      <c r="AC944" s="46">
        <f>IF(AQ944="1",BI944,0)</f>
        <v>0</v>
      </c>
      <c r="AD944" s="46">
        <f>IF(AQ944="7",BH944,0)</f>
        <v>0</v>
      </c>
      <c r="AE944" s="46">
        <f>IF(AQ944="7",BI944,0)</f>
        <v>0</v>
      </c>
      <c r="AF944" s="46">
        <f>IF(AQ944="2",BH944,0)</f>
        <v>0</v>
      </c>
      <c r="AG944" s="46">
        <f>IF(AQ944="2",BI944,0)</f>
        <v>0</v>
      </c>
      <c r="AH944" s="46">
        <f>IF(AQ944="0",BJ944,0)</f>
        <v>0</v>
      </c>
      <c r="AI944" s="1" t="s">
        <v>1471</v>
      </c>
      <c r="AJ944" s="46">
        <f>IF(AN944=0,M944,0)</f>
        <v>0</v>
      </c>
      <c r="AK944" s="46">
        <f>IF(AN944=15,M944,0)</f>
        <v>0</v>
      </c>
      <c r="AL944" s="46">
        <f>IF(AN944=21,M944,0)</f>
        <v>0</v>
      </c>
      <c r="AN944" s="46">
        <v>21</v>
      </c>
      <c r="AO944" s="46">
        <f>J944*0.886885245901639</f>
        <v>0</v>
      </c>
      <c r="AP944" s="46">
        <f>J944*(1-0.886885245901639)</f>
        <v>0</v>
      </c>
      <c r="AQ944" s="42" t="s">
        <v>1648</v>
      </c>
      <c r="AV944" s="46">
        <f>AW944+AX944</f>
        <v>0</v>
      </c>
      <c r="AW944" s="46">
        <f>I944*AO944</f>
        <v>0</v>
      </c>
      <c r="AX944" s="46">
        <f>I944*AP944</f>
        <v>0</v>
      </c>
      <c r="AY944" s="42" t="s">
        <v>648</v>
      </c>
      <c r="AZ944" s="42" t="s">
        <v>1375</v>
      </c>
      <c r="BA944" s="1" t="s">
        <v>630</v>
      </c>
      <c r="BC944" s="46">
        <f>AW944+AX944</f>
        <v>0</v>
      </c>
      <c r="BD944" s="46">
        <f>J944/(100-BE944)*100</f>
        <v>0</v>
      </c>
      <c r="BE944" s="46">
        <v>0</v>
      </c>
      <c r="BF944" s="46">
        <f>944</f>
        <v>944</v>
      </c>
      <c r="BH944" s="46">
        <f>I944*AO944</f>
        <v>0</v>
      </c>
      <c r="BI944" s="46">
        <f>I944*AP944</f>
        <v>0</v>
      </c>
      <c r="BJ944" s="46">
        <f>I944*J944</f>
        <v>0</v>
      </c>
      <c r="BK944" s="46"/>
      <c r="BL944" s="46">
        <v>57</v>
      </c>
    </row>
    <row r="945" spans="1:15" ht="15" customHeight="1">
      <c r="A945" s="10"/>
      <c r="D945" s="32" t="s">
        <v>601</v>
      </c>
      <c r="G945" s="32" t="s">
        <v>1163</v>
      </c>
      <c r="I945" s="58">
        <v>552</v>
      </c>
      <c r="O945" s="30"/>
    </row>
    <row r="946" spans="1:47" ht="15" customHeight="1">
      <c r="A946" s="3" t="s">
        <v>1163</v>
      </c>
      <c r="B946" s="9" t="s">
        <v>1471</v>
      </c>
      <c r="C946" s="9" t="s">
        <v>740</v>
      </c>
      <c r="D946" s="64" t="s">
        <v>1570</v>
      </c>
      <c r="E946" s="64"/>
      <c r="F946" s="64"/>
      <c r="G946" s="64"/>
      <c r="H946" s="41" t="s">
        <v>1537</v>
      </c>
      <c r="I946" s="41" t="s">
        <v>1537</v>
      </c>
      <c r="J946" s="41" t="s">
        <v>1537</v>
      </c>
      <c r="K946" s="50">
        <f>SUM(K947:K956)</f>
        <v>0</v>
      </c>
      <c r="L946" s="50">
        <f>SUM(L947:L956)</f>
        <v>0</v>
      </c>
      <c r="M946" s="50">
        <f>SUM(M947:M956)</f>
        <v>0</v>
      </c>
      <c r="N946" s="1" t="s">
        <v>1163</v>
      </c>
      <c r="O946" s="45" t="s">
        <v>1163</v>
      </c>
      <c r="AI946" s="1" t="s">
        <v>1471</v>
      </c>
      <c r="AS946" s="50">
        <f>SUM(AJ947:AJ956)</f>
        <v>0</v>
      </c>
      <c r="AT946" s="50">
        <f>SUM(AK947:AK956)</f>
        <v>0</v>
      </c>
      <c r="AU946" s="50">
        <f>SUM(AL947:AL956)</f>
        <v>0</v>
      </c>
    </row>
    <row r="947" spans="1:64" ht="15" customHeight="1">
      <c r="A947" s="52" t="s">
        <v>284</v>
      </c>
      <c r="B947" s="43" t="s">
        <v>1471</v>
      </c>
      <c r="C947" s="43" t="s">
        <v>45</v>
      </c>
      <c r="D947" s="61" t="s">
        <v>329</v>
      </c>
      <c r="E947" s="61"/>
      <c r="F947" s="61"/>
      <c r="G947" s="61"/>
      <c r="H947" s="43" t="s">
        <v>1629</v>
      </c>
      <c r="I947" s="46">
        <v>582</v>
      </c>
      <c r="J947" s="46">
        <v>0</v>
      </c>
      <c r="K947" s="46">
        <f>I947*AO947</f>
        <v>0</v>
      </c>
      <c r="L947" s="46">
        <f>I947*AP947</f>
        <v>0</v>
      </c>
      <c r="M947" s="46">
        <f>I947*J947</f>
        <v>0</v>
      </c>
      <c r="N947" s="46">
        <v>0.77654</v>
      </c>
      <c r="O947" s="6" t="s">
        <v>1149</v>
      </c>
      <c r="Z947" s="46">
        <f>IF(AQ947="5",BJ947,0)</f>
        <v>0</v>
      </c>
      <c r="AB947" s="46">
        <f>IF(AQ947="1",BH947,0)</f>
        <v>0</v>
      </c>
      <c r="AC947" s="46">
        <f>IF(AQ947="1",BI947,0)</f>
        <v>0</v>
      </c>
      <c r="AD947" s="46">
        <f>IF(AQ947="7",BH947,0)</f>
        <v>0</v>
      </c>
      <c r="AE947" s="46">
        <f>IF(AQ947="7",BI947,0)</f>
        <v>0</v>
      </c>
      <c r="AF947" s="46">
        <f>IF(AQ947="2",BH947,0)</f>
        <v>0</v>
      </c>
      <c r="AG947" s="46">
        <f>IF(AQ947="2",BI947,0)</f>
        <v>0</v>
      </c>
      <c r="AH947" s="46">
        <f>IF(AQ947="0",BJ947,0)</f>
        <v>0</v>
      </c>
      <c r="AI947" s="1" t="s">
        <v>1471</v>
      </c>
      <c r="AJ947" s="46">
        <f>IF(AN947=0,M947,0)</f>
        <v>0</v>
      </c>
      <c r="AK947" s="46">
        <f>IF(AN947=15,M947,0)</f>
        <v>0</v>
      </c>
      <c r="AL947" s="46">
        <f>IF(AN947=21,M947,0)</f>
        <v>0</v>
      </c>
      <c r="AN947" s="46">
        <v>21</v>
      </c>
      <c r="AO947" s="46">
        <f>J947*0.531881896166418</f>
        <v>0</v>
      </c>
      <c r="AP947" s="46">
        <f>J947*(1-0.531881896166418)</f>
        <v>0</v>
      </c>
      <c r="AQ947" s="42" t="s">
        <v>1648</v>
      </c>
      <c r="AV947" s="46">
        <f>AW947+AX947</f>
        <v>0</v>
      </c>
      <c r="AW947" s="46">
        <f>I947*AO947</f>
        <v>0</v>
      </c>
      <c r="AX947" s="46">
        <f>I947*AP947</f>
        <v>0</v>
      </c>
      <c r="AY947" s="42" t="s">
        <v>1633</v>
      </c>
      <c r="AZ947" s="42" t="s">
        <v>1375</v>
      </c>
      <c r="BA947" s="1" t="s">
        <v>630</v>
      </c>
      <c r="BC947" s="46">
        <f>AW947+AX947</f>
        <v>0</v>
      </c>
      <c r="BD947" s="46">
        <f>J947/(100-BE947)*100</f>
        <v>0</v>
      </c>
      <c r="BE947" s="46">
        <v>0</v>
      </c>
      <c r="BF947" s="46">
        <f>947</f>
        <v>947</v>
      </c>
      <c r="BH947" s="46">
        <f>I947*AO947</f>
        <v>0</v>
      </c>
      <c r="BI947" s="46">
        <f>I947*AP947</f>
        <v>0</v>
      </c>
      <c r="BJ947" s="46">
        <f>I947*J947</f>
        <v>0</v>
      </c>
      <c r="BK947" s="46"/>
      <c r="BL947" s="46">
        <v>59</v>
      </c>
    </row>
    <row r="948" spans="1:15" ht="15" customHeight="1">
      <c r="A948" s="10"/>
      <c r="D948" s="32" t="s">
        <v>1071</v>
      </c>
      <c r="G948" s="32" t="s">
        <v>1163</v>
      </c>
      <c r="I948" s="58">
        <v>582</v>
      </c>
      <c r="O948" s="30"/>
    </row>
    <row r="949" spans="1:15" ht="13.5" customHeight="1">
      <c r="A949" s="10"/>
      <c r="C949" s="36" t="s">
        <v>144</v>
      </c>
      <c r="D949" s="65" t="s">
        <v>360</v>
      </c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7"/>
    </row>
    <row r="950" spans="1:64" ht="15" customHeight="1">
      <c r="A950" s="52" t="s">
        <v>526</v>
      </c>
      <c r="B950" s="43" t="s">
        <v>1471</v>
      </c>
      <c r="C950" s="43" t="s">
        <v>283</v>
      </c>
      <c r="D950" s="61" t="s">
        <v>1253</v>
      </c>
      <c r="E950" s="61"/>
      <c r="F950" s="61"/>
      <c r="G950" s="61"/>
      <c r="H950" s="43" t="s">
        <v>1629</v>
      </c>
      <c r="I950" s="46">
        <v>101</v>
      </c>
      <c r="J950" s="46">
        <v>0</v>
      </c>
      <c r="K950" s="46">
        <f>I950*AO950</f>
        <v>0</v>
      </c>
      <c r="L950" s="46">
        <f>I950*AP950</f>
        <v>0</v>
      </c>
      <c r="M950" s="46">
        <f>I950*J950</f>
        <v>0</v>
      </c>
      <c r="N950" s="46">
        <v>0.66955</v>
      </c>
      <c r="O950" s="6" t="s">
        <v>1149</v>
      </c>
      <c r="Z950" s="46">
        <f>IF(AQ950="5",BJ950,0)</f>
        <v>0</v>
      </c>
      <c r="AB950" s="46">
        <f>IF(AQ950="1",BH950,0)</f>
        <v>0</v>
      </c>
      <c r="AC950" s="46">
        <f>IF(AQ950="1",BI950,0)</f>
        <v>0</v>
      </c>
      <c r="AD950" s="46">
        <f>IF(AQ950="7",BH950,0)</f>
        <v>0</v>
      </c>
      <c r="AE950" s="46">
        <f>IF(AQ950="7",BI950,0)</f>
        <v>0</v>
      </c>
      <c r="AF950" s="46">
        <f>IF(AQ950="2",BH950,0)</f>
        <v>0</v>
      </c>
      <c r="AG950" s="46">
        <f>IF(AQ950="2",BI950,0)</f>
        <v>0</v>
      </c>
      <c r="AH950" s="46">
        <f>IF(AQ950="0",BJ950,0)</f>
        <v>0</v>
      </c>
      <c r="AI950" s="1" t="s">
        <v>1471</v>
      </c>
      <c r="AJ950" s="46">
        <f>IF(AN950=0,M950,0)</f>
        <v>0</v>
      </c>
      <c r="AK950" s="46">
        <f>IF(AN950=15,M950,0)</f>
        <v>0</v>
      </c>
      <c r="AL950" s="46">
        <f>IF(AN950=21,M950,0)</f>
        <v>0</v>
      </c>
      <c r="AN950" s="46">
        <v>21</v>
      </c>
      <c r="AO950" s="46">
        <f>J950*0.53979172460678</f>
        <v>0</v>
      </c>
      <c r="AP950" s="46">
        <f>J950*(1-0.53979172460678)</f>
        <v>0</v>
      </c>
      <c r="AQ950" s="42" t="s">
        <v>1648</v>
      </c>
      <c r="AV950" s="46">
        <f>AW950+AX950</f>
        <v>0</v>
      </c>
      <c r="AW950" s="46">
        <f>I950*AO950</f>
        <v>0</v>
      </c>
      <c r="AX950" s="46">
        <f>I950*AP950</f>
        <v>0</v>
      </c>
      <c r="AY950" s="42" t="s">
        <v>1633</v>
      </c>
      <c r="AZ950" s="42" t="s">
        <v>1375</v>
      </c>
      <c r="BA950" s="1" t="s">
        <v>630</v>
      </c>
      <c r="BC950" s="46">
        <f>AW950+AX950</f>
        <v>0</v>
      </c>
      <c r="BD950" s="46">
        <f>J950/(100-BE950)*100</f>
        <v>0</v>
      </c>
      <c r="BE950" s="46">
        <v>0</v>
      </c>
      <c r="BF950" s="46">
        <f>950</f>
        <v>950</v>
      </c>
      <c r="BH950" s="46">
        <f>I950*AO950</f>
        <v>0</v>
      </c>
      <c r="BI950" s="46">
        <f>I950*AP950</f>
        <v>0</v>
      </c>
      <c r="BJ950" s="46">
        <f>I950*J950</f>
        <v>0</v>
      </c>
      <c r="BK950" s="46"/>
      <c r="BL950" s="46">
        <v>59</v>
      </c>
    </row>
    <row r="951" spans="1:15" ht="15" customHeight="1">
      <c r="A951" s="10"/>
      <c r="D951" s="32" t="s">
        <v>1526</v>
      </c>
      <c r="G951" s="32" t="s">
        <v>1034</v>
      </c>
      <c r="I951" s="58">
        <v>101.00000000000001</v>
      </c>
      <c r="O951" s="30"/>
    </row>
    <row r="952" spans="1:15" ht="13.5" customHeight="1">
      <c r="A952" s="10"/>
      <c r="C952" s="36" t="s">
        <v>144</v>
      </c>
      <c r="D952" s="65" t="s">
        <v>1328</v>
      </c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7"/>
    </row>
    <row r="953" spans="1:64" ht="15" customHeight="1">
      <c r="A953" s="52" t="s">
        <v>1041</v>
      </c>
      <c r="B953" s="43" t="s">
        <v>1471</v>
      </c>
      <c r="C953" s="43" t="s">
        <v>1381</v>
      </c>
      <c r="D953" s="61" t="s">
        <v>1467</v>
      </c>
      <c r="E953" s="61"/>
      <c r="F953" s="61"/>
      <c r="G953" s="61"/>
      <c r="H953" s="43" t="s">
        <v>1629</v>
      </c>
      <c r="I953" s="46">
        <v>79.5</v>
      </c>
      <c r="J953" s="46">
        <v>0</v>
      </c>
      <c r="K953" s="46">
        <f>I953*AO953</f>
        <v>0</v>
      </c>
      <c r="L953" s="46">
        <f>I953*AP953</f>
        <v>0</v>
      </c>
      <c r="M953" s="46">
        <f>I953*J953</f>
        <v>0</v>
      </c>
      <c r="N953" s="46">
        <v>1.01388</v>
      </c>
      <c r="O953" s="6" t="s">
        <v>1149</v>
      </c>
      <c r="Z953" s="46">
        <f>IF(AQ953="5",BJ953,0)</f>
        <v>0</v>
      </c>
      <c r="AB953" s="46">
        <f>IF(AQ953="1",BH953,0)</f>
        <v>0</v>
      </c>
      <c r="AC953" s="46">
        <f>IF(AQ953="1",BI953,0)</f>
        <v>0</v>
      </c>
      <c r="AD953" s="46">
        <f>IF(AQ953="7",BH953,0)</f>
        <v>0</v>
      </c>
      <c r="AE953" s="46">
        <f>IF(AQ953="7",BI953,0)</f>
        <v>0</v>
      </c>
      <c r="AF953" s="46">
        <f>IF(AQ953="2",BH953,0)</f>
        <v>0</v>
      </c>
      <c r="AG953" s="46">
        <f>IF(AQ953="2",BI953,0)</f>
        <v>0</v>
      </c>
      <c r="AH953" s="46">
        <f>IF(AQ953="0",BJ953,0)</f>
        <v>0</v>
      </c>
      <c r="AI953" s="1" t="s">
        <v>1471</v>
      </c>
      <c r="AJ953" s="46">
        <f>IF(AN953=0,M953,0)</f>
        <v>0</v>
      </c>
      <c r="AK953" s="46">
        <f>IF(AN953=15,M953,0)</f>
        <v>0</v>
      </c>
      <c r="AL953" s="46">
        <f>IF(AN953=21,M953,0)</f>
        <v>0</v>
      </c>
      <c r="AN953" s="46">
        <v>21</v>
      </c>
      <c r="AO953" s="46">
        <f>J953*0.536534563301639</f>
        <v>0</v>
      </c>
      <c r="AP953" s="46">
        <f>J953*(1-0.536534563301639)</f>
        <v>0</v>
      </c>
      <c r="AQ953" s="42" t="s">
        <v>1648</v>
      </c>
      <c r="AV953" s="46">
        <f>AW953+AX953</f>
        <v>0</v>
      </c>
      <c r="AW953" s="46">
        <f>I953*AO953</f>
        <v>0</v>
      </c>
      <c r="AX953" s="46">
        <f>I953*AP953</f>
        <v>0</v>
      </c>
      <c r="AY953" s="42" t="s">
        <v>1633</v>
      </c>
      <c r="AZ953" s="42" t="s">
        <v>1375</v>
      </c>
      <c r="BA953" s="1" t="s">
        <v>630</v>
      </c>
      <c r="BC953" s="46">
        <f>AW953+AX953</f>
        <v>0</v>
      </c>
      <c r="BD953" s="46">
        <f>J953/(100-BE953)*100</f>
        <v>0</v>
      </c>
      <c r="BE953" s="46">
        <v>0</v>
      </c>
      <c r="BF953" s="46">
        <f>953</f>
        <v>953</v>
      </c>
      <c r="BH953" s="46">
        <f>I953*AO953</f>
        <v>0</v>
      </c>
      <c r="BI953" s="46">
        <f>I953*AP953</f>
        <v>0</v>
      </c>
      <c r="BJ953" s="46">
        <f>I953*J953</f>
        <v>0</v>
      </c>
      <c r="BK953" s="46"/>
      <c r="BL953" s="46">
        <v>59</v>
      </c>
    </row>
    <row r="954" spans="1:15" ht="15" customHeight="1">
      <c r="A954" s="10"/>
      <c r="D954" s="32" t="s">
        <v>294</v>
      </c>
      <c r="G954" s="32" t="s">
        <v>1163</v>
      </c>
      <c r="I954" s="58">
        <v>79.5</v>
      </c>
      <c r="O954" s="30"/>
    </row>
    <row r="955" spans="1:15" ht="13.5" customHeight="1">
      <c r="A955" s="10"/>
      <c r="C955" s="36" t="s">
        <v>144</v>
      </c>
      <c r="D955" s="65" t="s">
        <v>460</v>
      </c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7"/>
    </row>
    <row r="956" spans="1:64" ht="15" customHeight="1">
      <c r="A956" s="52" t="s">
        <v>1610</v>
      </c>
      <c r="B956" s="43" t="s">
        <v>1471</v>
      </c>
      <c r="C956" s="43" t="s">
        <v>1091</v>
      </c>
      <c r="D956" s="61" t="s">
        <v>1236</v>
      </c>
      <c r="E956" s="61"/>
      <c r="F956" s="61"/>
      <c r="G956" s="61"/>
      <c r="H956" s="43" t="s">
        <v>1629</v>
      </c>
      <c r="I956" s="46">
        <v>1865.5</v>
      </c>
      <c r="J956" s="46">
        <v>0</v>
      </c>
      <c r="K956" s="46">
        <f>I956*AO956</f>
        <v>0</v>
      </c>
      <c r="L956" s="46">
        <f>I956*AP956</f>
        <v>0</v>
      </c>
      <c r="M956" s="46">
        <f>I956*J956</f>
        <v>0</v>
      </c>
      <c r="N956" s="46">
        <v>0.64444</v>
      </c>
      <c r="O956" s="6" t="s">
        <v>1149</v>
      </c>
      <c r="Z956" s="46">
        <f>IF(AQ956="5",BJ956,0)</f>
        <v>0</v>
      </c>
      <c r="AB956" s="46">
        <f>IF(AQ956="1",BH956,0)</f>
        <v>0</v>
      </c>
      <c r="AC956" s="46">
        <f>IF(AQ956="1",BI956,0)</f>
        <v>0</v>
      </c>
      <c r="AD956" s="46">
        <f>IF(AQ956="7",BH956,0)</f>
        <v>0</v>
      </c>
      <c r="AE956" s="46">
        <f>IF(AQ956="7",BI956,0)</f>
        <v>0</v>
      </c>
      <c r="AF956" s="46">
        <f>IF(AQ956="2",BH956,0)</f>
        <v>0</v>
      </c>
      <c r="AG956" s="46">
        <f>IF(AQ956="2",BI956,0)</f>
        <v>0</v>
      </c>
      <c r="AH956" s="46">
        <f>IF(AQ956="0",BJ956,0)</f>
        <v>0</v>
      </c>
      <c r="AI956" s="1" t="s">
        <v>1471</v>
      </c>
      <c r="AJ956" s="46">
        <f>IF(AN956=0,M956,0)</f>
        <v>0</v>
      </c>
      <c r="AK956" s="46">
        <f>IF(AN956=15,M956,0)</f>
        <v>0</v>
      </c>
      <c r="AL956" s="46">
        <f>IF(AN956=21,M956,0)</f>
        <v>0</v>
      </c>
      <c r="AN956" s="46">
        <v>21</v>
      </c>
      <c r="AO956" s="46">
        <f>J956*0.504435129877467</f>
        <v>0</v>
      </c>
      <c r="AP956" s="46">
        <f>J956*(1-0.504435129877467)</f>
        <v>0</v>
      </c>
      <c r="AQ956" s="42" t="s">
        <v>1648</v>
      </c>
      <c r="AV956" s="46">
        <f>AW956+AX956</f>
        <v>0</v>
      </c>
      <c r="AW956" s="46">
        <f>I956*AO956</f>
        <v>0</v>
      </c>
      <c r="AX956" s="46">
        <f>I956*AP956</f>
        <v>0</v>
      </c>
      <c r="AY956" s="42" t="s">
        <v>1633</v>
      </c>
      <c r="AZ956" s="42" t="s">
        <v>1375</v>
      </c>
      <c r="BA956" s="1" t="s">
        <v>630</v>
      </c>
      <c r="BC956" s="46">
        <f>AW956+AX956</f>
        <v>0</v>
      </c>
      <c r="BD956" s="46">
        <f>J956/(100-BE956)*100</f>
        <v>0</v>
      </c>
      <c r="BE956" s="46">
        <v>0</v>
      </c>
      <c r="BF956" s="46">
        <f>956</f>
        <v>956</v>
      </c>
      <c r="BH956" s="46">
        <f>I956*AO956</f>
        <v>0</v>
      </c>
      <c r="BI956" s="46">
        <f>I956*AP956</f>
        <v>0</v>
      </c>
      <c r="BJ956" s="46">
        <f>I956*J956</f>
        <v>0</v>
      </c>
      <c r="BK956" s="46"/>
      <c r="BL956" s="46">
        <v>59</v>
      </c>
    </row>
    <row r="957" spans="1:15" ht="15" customHeight="1">
      <c r="A957" s="10"/>
      <c r="D957" s="32" t="s">
        <v>1524</v>
      </c>
      <c r="G957" s="32" t="s">
        <v>1163</v>
      </c>
      <c r="I957" s="58">
        <v>1865.5000000000002</v>
      </c>
      <c r="O957" s="30"/>
    </row>
    <row r="958" spans="1:15" ht="13.5" customHeight="1">
      <c r="A958" s="10"/>
      <c r="C958" s="36" t="s">
        <v>144</v>
      </c>
      <c r="D958" s="65" t="s">
        <v>315</v>
      </c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7"/>
    </row>
    <row r="959" spans="1:47" ht="15" customHeight="1">
      <c r="A959" s="3" t="s">
        <v>1163</v>
      </c>
      <c r="B959" s="9" t="s">
        <v>1471</v>
      </c>
      <c r="C959" s="9" t="s">
        <v>74</v>
      </c>
      <c r="D959" s="64" t="s">
        <v>588</v>
      </c>
      <c r="E959" s="64"/>
      <c r="F959" s="64"/>
      <c r="G959" s="64"/>
      <c r="H959" s="41" t="s">
        <v>1537</v>
      </c>
      <c r="I959" s="41" t="s">
        <v>1537</v>
      </c>
      <c r="J959" s="41" t="s">
        <v>1537</v>
      </c>
      <c r="K959" s="50">
        <f>SUM(K960:K980)</f>
        <v>0</v>
      </c>
      <c r="L959" s="50">
        <f>SUM(L960:L980)</f>
        <v>0</v>
      </c>
      <c r="M959" s="50">
        <f>SUM(M960:M980)</f>
        <v>0</v>
      </c>
      <c r="N959" s="1" t="s">
        <v>1163</v>
      </c>
      <c r="O959" s="45" t="s">
        <v>1163</v>
      </c>
      <c r="AI959" s="1" t="s">
        <v>1471</v>
      </c>
      <c r="AS959" s="50">
        <f>SUM(AJ960:AJ980)</f>
        <v>0</v>
      </c>
      <c r="AT959" s="50">
        <f>SUM(AK960:AK980)</f>
        <v>0</v>
      </c>
      <c r="AU959" s="50">
        <f>SUM(AL960:AL980)</f>
        <v>0</v>
      </c>
    </row>
    <row r="960" spans="1:64" ht="15" customHeight="1">
      <c r="A960" s="52" t="s">
        <v>20</v>
      </c>
      <c r="B960" s="43" t="s">
        <v>1471</v>
      </c>
      <c r="C960" s="43" t="s">
        <v>1133</v>
      </c>
      <c r="D960" s="61" t="s">
        <v>694</v>
      </c>
      <c r="E960" s="61"/>
      <c r="F960" s="61"/>
      <c r="G960" s="61"/>
      <c r="H960" s="43" t="s">
        <v>392</v>
      </c>
      <c r="I960" s="46">
        <v>16</v>
      </c>
      <c r="J960" s="46">
        <v>0</v>
      </c>
      <c r="K960" s="46">
        <f>I960*AO960</f>
        <v>0</v>
      </c>
      <c r="L960" s="46">
        <f>I960*AP960</f>
        <v>0</v>
      </c>
      <c r="M960" s="46">
        <f>I960*J960</f>
        <v>0</v>
      </c>
      <c r="N960" s="46">
        <v>0.1184</v>
      </c>
      <c r="O960" s="6" t="s">
        <v>1149</v>
      </c>
      <c r="Z960" s="46">
        <f>IF(AQ960="5",BJ960,0)</f>
        <v>0</v>
      </c>
      <c r="AB960" s="46">
        <f>IF(AQ960="1",BH960,0)</f>
        <v>0</v>
      </c>
      <c r="AC960" s="46">
        <f>IF(AQ960="1",BI960,0)</f>
        <v>0</v>
      </c>
      <c r="AD960" s="46">
        <f>IF(AQ960="7",BH960,0)</f>
        <v>0</v>
      </c>
      <c r="AE960" s="46">
        <f>IF(AQ960="7",BI960,0)</f>
        <v>0</v>
      </c>
      <c r="AF960" s="46">
        <f>IF(AQ960="2",BH960,0)</f>
        <v>0</v>
      </c>
      <c r="AG960" s="46">
        <f>IF(AQ960="2",BI960,0)</f>
        <v>0</v>
      </c>
      <c r="AH960" s="46">
        <f>IF(AQ960="0",BJ960,0)</f>
        <v>0</v>
      </c>
      <c r="AI960" s="1" t="s">
        <v>1471</v>
      </c>
      <c r="AJ960" s="46">
        <f>IF(AN960=0,M960,0)</f>
        <v>0</v>
      </c>
      <c r="AK960" s="46">
        <f>IF(AN960=15,M960,0)</f>
        <v>0</v>
      </c>
      <c r="AL960" s="46">
        <f>IF(AN960=21,M960,0)</f>
        <v>0</v>
      </c>
      <c r="AN960" s="46">
        <v>21</v>
      </c>
      <c r="AO960" s="46">
        <f>J960*0.829773656706836</f>
        <v>0</v>
      </c>
      <c r="AP960" s="46">
        <f>J960*(1-0.829773656706836)</f>
        <v>0</v>
      </c>
      <c r="AQ960" s="42" t="s">
        <v>1648</v>
      </c>
      <c r="AV960" s="46">
        <f>AW960+AX960</f>
        <v>0</v>
      </c>
      <c r="AW960" s="46">
        <f>I960*AO960</f>
        <v>0</v>
      </c>
      <c r="AX960" s="46">
        <f>I960*AP960</f>
        <v>0</v>
      </c>
      <c r="AY960" s="42" t="s">
        <v>1616</v>
      </c>
      <c r="AZ960" s="42" t="s">
        <v>994</v>
      </c>
      <c r="BA960" s="1" t="s">
        <v>630</v>
      </c>
      <c r="BC960" s="46">
        <f>AW960+AX960</f>
        <v>0</v>
      </c>
      <c r="BD960" s="46">
        <f>J960/(100-BE960)*100</f>
        <v>0</v>
      </c>
      <c r="BE960" s="46">
        <v>0</v>
      </c>
      <c r="BF960" s="46">
        <f>960</f>
        <v>960</v>
      </c>
      <c r="BH960" s="46">
        <f>I960*AO960</f>
        <v>0</v>
      </c>
      <c r="BI960" s="46">
        <f>I960*AP960</f>
        <v>0</v>
      </c>
      <c r="BJ960" s="46">
        <f>I960*J960</f>
        <v>0</v>
      </c>
      <c r="BK960" s="46"/>
      <c r="BL960" s="46">
        <v>91</v>
      </c>
    </row>
    <row r="961" spans="1:15" ht="15" customHeight="1">
      <c r="A961" s="10"/>
      <c r="D961" s="32" t="s">
        <v>153</v>
      </c>
      <c r="G961" s="32" t="s">
        <v>1163</v>
      </c>
      <c r="I961" s="58">
        <v>16</v>
      </c>
      <c r="O961" s="30"/>
    </row>
    <row r="962" spans="1:64" ht="15" customHeight="1">
      <c r="A962" s="52" t="s">
        <v>188</v>
      </c>
      <c r="B962" s="43" t="s">
        <v>1471</v>
      </c>
      <c r="C962" s="43" t="s">
        <v>1739</v>
      </c>
      <c r="D962" s="61" t="s">
        <v>851</v>
      </c>
      <c r="E962" s="61"/>
      <c r="F962" s="61"/>
      <c r="G962" s="61"/>
      <c r="H962" s="43" t="s">
        <v>1365</v>
      </c>
      <c r="I962" s="46">
        <v>50</v>
      </c>
      <c r="J962" s="46">
        <v>0</v>
      </c>
      <c r="K962" s="46">
        <f>I962*AO962</f>
        <v>0</v>
      </c>
      <c r="L962" s="46">
        <f>I962*AP962</f>
        <v>0</v>
      </c>
      <c r="M962" s="46">
        <f>I962*J962</f>
        <v>0</v>
      </c>
      <c r="N962" s="46">
        <v>0.00018</v>
      </c>
      <c r="O962" s="6" t="s">
        <v>1149</v>
      </c>
      <c r="Z962" s="46">
        <f>IF(AQ962="5",BJ962,0)</f>
        <v>0</v>
      </c>
      <c r="AB962" s="46">
        <f>IF(AQ962="1",BH962,0)</f>
        <v>0</v>
      </c>
      <c r="AC962" s="46">
        <f>IF(AQ962="1",BI962,0)</f>
        <v>0</v>
      </c>
      <c r="AD962" s="46">
        <f>IF(AQ962="7",BH962,0)</f>
        <v>0</v>
      </c>
      <c r="AE962" s="46">
        <f>IF(AQ962="7",BI962,0)</f>
        <v>0</v>
      </c>
      <c r="AF962" s="46">
        <f>IF(AQ962="2",BH962,0)</f>
        <v>0</v>
      </c>
      <c r="AG962" s="46">
        <f>IF(AQ962="2",BI962,0)</f>
        <v>0</v>
      </c>
      <c r="AH962" s="46">
        <f>IF(AQ962="0",BJ962,0)</f>
        <v>0</v>
      </c>
      <c r="AI962" s="1" t="s">
        <v>1471</v>
      </c>
      <c r="AJ962" s="46">
        <f>IF(AN962=0,M962,0)</f>
        <v>0</v>
      </c>
      <c r="AK962" s="46">
        <f>IF(AN962=15,M962,0)</f>
        <v>0</v>
      </c>
      <c r="AL962" s="46">
        <f>IF(AN962=21,M962,0)</f>
        <v>0</v>
      </c>
      <c r="AN962" s="46">
        <v>21</v>
      </c>
      <c r="AO962" s="46">
        <f>J962*0.722036082474227</f>
        <v>0</v>
      </c>
      <c r="AP962" s="46">
        <f>J962*(1-0.722036082474227)</f>
        <v>0</v>
      </c>
      <c r="AQ962" s="42" t="s">
        <v>1648</v>
      </c>
      <c r="AV962" s="46">
        <f>AW962+AX962</f>
        <v>0</v>
      </c>
      <c r="AW962" s="46">
        <f>I962*AO962</f>
        <v>0</v>
      </c>
      <c r="AX962" s="46">
        <f>I962*AP962</f>
        <v>0</v>
      </c>
      <c r="AY962" s="42" t="s">
        <v>1616</v>
      </c>
      <c r="AZ962" s="42" t="s">
        <v>994</v>
      </c>
      <c r="BA962" s="1" t="s">
        <v>630</v>
      </c>
      <c r="BC962" s="46">
        <f>AW962+AX962</f>
        <v>0</v>
      </c>
      <c r="BD962" s="46">
        <f>J962/(100-BE962)*100</f>
        <v>0</v>
      </c>
      <c r="BE962" s="46">
        <v>0</v>
      </c>
      <c r="BF962" s="46">
        <f>962</f>
        <v>962</v>
      </c>
      <c r="BH962" s="46">
        <f>I962*AO962</f>
        <v>0</v>
      </c>
      <c r="BI962" s="46">
        <f>I962*AP962</f>
        <v>0</v>
      </c>
      <c r="BJ962" s="46">
        <f>I962*J962</f>
        <v>0</v>
      </c>
      <c r="BK962" s="46"/>
      <c r="BL962" s="46">
        <v>91</v>
      </c>
    </row>
    <row r="963" spans="1:15" ht="15" customHeight="1">
      <c r="A963" s="10"/>
      <c r="D963" s="32" t="s">
        <v>1356</v>
      </c>
      <c r="G963" s="32" t="s">
        <v>1163</v>
      </c>
      <c r="I963" s="58">
        <v>50.00000000000001</v>
      </c>
      <c r="O963" s="30"/>
    </row>
    <row r="964" spans="1:64" ht="15" customHeight="1">
      <c r="A964" s="52" t="s">
        <v>1737</v>
      </c>
      <c r="B964" s="43" t="s">
        <v>1471</v>
      </c>
      <c r="C964" s="43" t="s">
        <v>1739</v>
      </c>
      <c r="D964" s="61" t="s">
        <v>851</v>
      </c>
      <c r="E964" s="61"/>
      <c r="F964" s="61"/>
      <c r="G964" s="61"/>
      <c r="H964" s="43" t="s">
        <v>1365</v>
      </c>
      <c r="I964" s="46">
        <v>60</v>
      </c>
      <c r="J964" s="46">
        <v>0</v>
      </c>
      <c r="K964" s="46">
        <f>I964*AO964</f>
        <v>0</v>
      </c>
      <c r="L964" s="46">
        <f>I964*AP964</f>
        <v>0</v>
      </c>
      <c r="M964" s="46">
        <f>I964*J964</f>
        <v>0</v>
      </c>
      <c r="N964" s="46">
        <v>0.00018</v>
      </c>
      <c r="O964" s="6" t="s">
        <v>1149</v>
      </c>
      <c r="Z964" s="46">
        <f>IF(AQ964="5",BJ964,0)</f>
        <v>0</v>
      </c>
      <c r="AB964" s="46">
        <f>IF(AQ964="1",BH964,0)</f>
        <v>0</v>
      </c>
      <c r="AC964" s="46">
        <f>IF(AQ964="1",BI964,0)</f>
        <v>0</v>
      </c>
      <c r="AD964" s="46">
        <f>IF(AQ964="7",BH964,0)</f>
        <v>0</v>
      </c>
      <c r="AE964" s="46">
        <f>IF(AQ964="7",BI964,0)</f>
        <v>0</v>
      </c>
      <c r="AF964" s="46">
        <f>IF(AQ964="2",BH964,0)</f>
        <v>0</v>
      </c>
      <c r="AG964" s="46">
        <f>IF(AQ964="2",BI964,0)</f>
        <v>0</v>
      </c>
      <c r="AH964" s="46">
        <f>IF(AQ964="0",BJ964,0)</f>
        <v>0</v>
      </c>
      <c r="AI964" s="1" t="s">
        <v>1471</v>
      </c>
      <c r="AJ964" s="46">
        <f>IF(AN964=0,M964,0)</f>
        <v>0</v>
      </c>
      <c r="AK964" s="46">
        <f>IF(AN964=15,M964,0)</f>
        <v>0</v>
      </c>
      <c r="AL964" s="46">
        <f>IF(AN964=21,M964,0)</f>
        <v>0</v>
      </c>
      <c r="AN964" s="46">
        <v>21</v>
      </c>
      <c r="AO964" s="46">
        <f>J964*0.722036082474227</f>
        <v>0</v>
      </c>
      <c r="AP964" s="46">
        <f>J964*(1-0.722036082474227)</f>
        <v>0</v>
      </c>
      <c r="AQ964" s="42" t="s">
        <v>1648</v>
      </c>
      <c r="AV964" s="46">
        <f>AW964+AX964</f>
        <v>0</v>
      </c>
      <c r="AW964" s="46">
        <f>I964*AO964</f>
        <v>0</v>
      </c>
      <c r="AX964" s="46">
        <f>I964*AP964</f>
        <v>0</v>
      </c>
      <c r="AY964" s="42" t="s">
        <v>1616</v>
      </c>
      <c r="AZ964" s="42" t="s">
        <v>994</v>
      </c>
      <c r="BA964" s="1" t="s">
        <v>630</v>
      </c>
      <c r="BC964" s="46">
        <f>AW964+AX964</f>
        <v>0</v>
      </c>
      <c r="BD964" s="46">
        <f>J964/(100-BE964)*100</f>
        <v>0</v>
      </c>
      <c r="BE964" s="46">
        <v>0</v>
      </c>
      <c r="BF964" s="46">
        <f>964</f>
        <v>964</v>
      </c>
      <c r="BH964" s="46">
        <f>I964*AO964</f>
        <v>0</v>
      </c>
      <c r="BI964" s="46">
        <f>I964*AP964</f>
        <v>0</v>
      </c>
      <c r="BJ964" s="46">
        <f>I964*J964</f>
        <v>0</v>
      </c>
      <c r="BK964" s="46"/>
      <c r="BL964" s="46">
        <v>91</v>
      </c>
    </row>
    <row r="965" spans="1:15" ht="15" customHeight="1">
      <c r="A965" s="10"/>
      <c r="D965" s="32" t="s">
        <v>200</v>
      </c>
      <c r="G965" s="32" t="s">
        <v>1163</v>
      </c>
      <c r="I965" s="58">
        <v>60.00000000000001</v>
      </c>
      <c r="O965" s="30"/>
    </row>
    <row r="966" spans="1:64" ht="15" customHeight="1">
      <c r="A966" s="52" t="s">
        <v>1856</v>
      </c>
      <c r="B966" s="43" t="s">
        <v>1471</v>
      </c>
      <c r="C966" s="43" t="s">
        <v>975</v>
      </c>
      <c r="D966" s="61" t="s">
        <v>347</v>
      </c>
      <c r="E966" s="61"/>
      <c r="F966" s="61"/>
      <c r="G966" s="61"/>
      <c r="H966" s="43" t="s">
        <v>1365</v>
      </c>
      <c r="I966" s="46">
        <v>120</v>
      </c>
      <c r="J966" s="46">
        <v>0</v>
      </c>
      <c r="K966" s="46">
        <f>I966*AO966</f>
        <v>0</v>
      </c>
      <c r="L966" s="46">
        <f>I966*AP966</f>
        <v>0</v>
      </c>
      <c r="M966" s="46">
        <f>I966*J966</f>
        <v>0</v>
      </c>
      <c r="N966" s="46">
        <v>0.00013</v>
      </c>
      <c r="O966" s="6" t="s">
        <v>1149</v>
      </c>
      <c r="Z966" s="46">
        <f>IF(AQ966="5",BJ966,0)</f>
        <v>0</v>
      </c>
      <c r="AB966" s="46">
        <f>IF(AQ966="1",BH966,0)</f>
        <v>0</v>
      </c>
      <c r="AC966" s="46">
        <f>IF(AQ966="1",BI966,0)</f>
        <v>0</v>
      </c>
      <c r="AD966" s="46">
        <f>IF(AQ966="7",BH966,0)</f>
        <v>0</v>
      </c>
      <c r="AE966" s="46">
        <f>IF(AQ966="7",BI966,0)</f>
        <v>0</v>
      </c>
      <c r="AF966" s="46">
        <f>IF(AQ966="2",BH966,0)</f>
        <v>0</v>
      </c>
      <c r="AG966" s="46">
        <f>IF(AQ966="2",BI966,0)</f>
        <v>0</v>
      </c>
      <c r="AH966" s="46">
        <f>IF(AQ966="0",BJ966,0)</f>
        <v>0</v>
      </c>
      <c r="AI966" s="1" t="s">
        <v>1471</v>
      </c>
      <c r="AJ966" s="46">
        <f>IF(AN966=0,M966,0)</f>
        <v>0</v>
      </c>
      <c r="AK966" s="46">
        <f>IF(AN966=15,M966,0)</f>
        <v>0</v>
      </c>
      <c r="AL966" s="46">
        <f>IF(AN966=21,M966,0)</f>
        <v>0</v>
      </c>
      <c r="AN966" s="46">
        <v>21</v>
      </c>
      <c r="AO966" s="46">
        <f>J966*0.756455142231947</f>
        <v>0</v>
      </c>
      <c r="AP966" s="46">
        <f>J966*(1-0.756455142231947)</f>
        <v>0</v>
      </c>
      <c r="AQ966" s="42" t="s">
        <v>1648</v>
      </c>
      <c r="AV966" s="46">
        <f>AW966+AX966</f>
        <v>0</v>
      </c>
      <c r="AW966" s="46">
        <f>I966*AO966</f>
        <v>0</v>
      </c>
      <c r="AX966" s="46">
        <f>I966*AP966</f>
        <v>0</v>
      </c>
      <c r="AY966" s="42" t="s">
        <v>1616</v>
      </c>
      <c r="AZ966" s="42" t="s">
        <v>994</v>
      </c>
      <c r="BA966" s="1" t="s">
        <v>630</v>
      </c>
      <c r="BC966" s="46">
        <f>AW966+AX966</f>
        <v>0</v>
      </c>
      <c r="BD966" s="46">
        <f>J966/(100-BE966)*100</f>
        <v>0</v>
      </c>
      <c r="BE966" s="46">
        <v>0</v>
      </c>
      <c r="BF966" s="46">
        <f>966</f>
        <v>966</v>
      </c>
      <c r="BH966" s="46">
        <f>I966*AO966</f>
        <v>0</v>
      </c>
      <c r="BI966" s="46">
        <f>I966*AP966</f>
        <v>0</v>
      </c>
      <c r="BJ966" s="46">
        <f>I966*J966</f>
        <v>0</v>
      </c>
      <c r="BK966" s="46"/>
      <c r="BL966" s="46">
        <v>91</v>
      </c>
    </row>
    <row r="967" spans="1:15" ht="15" customHeight="1">
      <c r="A967" s="10"/>
      <c r="D967" s="32" t="s">
        <v>356</v>
      </c>
      <c r="G967" s="32" t="s">
        <v>1163</v>
      </c>
      <c r="I967" s="58">
        <v>120.00000000000001</v>
      </c>
      <c r="O967" s="30"/>
    </row>
    <row r="968" spans="1:64" ht="15" customHeight="1">
      <c r="A968" s="52" t="s">
        <v>906</v>
      </c>
      <c r="B968" s="43" t="s">
        <v>1471</v>
      </c>
      <c r="C968" s="43" t="s">
        <v>779</v>
      </c>
      <c r="D968" s="61" t="s">
        <v>999</v>
      </c>
      <c r="E968" s="61"/>
      <c r="F968" s="61"/>
      <c r="G968" s="61"/>
      <c r="H968" s="43" t="s">
        <v>1629</v>
      </c>
      <c r="I968" s="46">
        <v>185</v>
      </c>
      <c r="J968" s="46">
        <v>0</v>
      </c>
      <c r="K968" s="46">
        <f>I968*AO968</f>
        <v>0</v>
      </c>
      <c r="L968" s="46">
        <f>I968*AP968</f>
        <v>0</v>
      </c>
      <c r="M968" s="46">
        <f>I968*J968</f>
        <v>0</v>
      </c>
      <c r="N968" s="46">
        <v>0.00014</v>
      </c>
      <c r="O968" s="6" t="s">
        <v>1149</v>
      </c>
      <c r="Z968" s="46">
        <f>IF(AQ968="5",BJ968,0)</f>
        <v>0</v>
      </c>
      <c r="AB968" s="46">
        <f>IF(AQ968="1",BH968,0)</f>
        <v>0</v>
      </c>
      <c r="AC968" s="46">
        <f>IF(AQ968="1",BI968,0)</f>
        <v>0</v>
      </c>
      <c r="AD968" s="46">
        <f>IF(AQ968="7",BH968,0)</f>
        <v>0</v>
      </c>
      <c r="AE968" s="46">
        <f>IF(AQ968="7",BI968,0)</f>
        <v>0</v>
      </c>
      <c r="AF968" s="46">
        <f>IF(AQ968="2",BH968,0)</f>
        <v>0</v>
      </c>
      <c r="AG968" s="46">
        <f>IF(AQ968="2",BI968,0)</f>
        <v>0</v>
      </c>
      <c r="AH968" s="46">
        <f>IF(AQ968="0",BJ968,0)</f>
        <v>0</v>
      </c>
      <c r="AI968" s="1" t="s">
        <v>1471</v>
      </c>
      <c r="AJ968" s="46">
        <f>IF(AN968=0,M968,0)</f>
        <v>0</v>
      </c>
      <c r="AK968" s="46">
        <f>IF(AN968=15,M968,0)</f>
        <v>0</v>
      </c>
      <c r="AL968" s="46">
        <f>IF(AN968=21,M968,0)</f>
        <v>0</v>
      </c>
      <c r="AN968" s="46">
        <v>21</v>
      </c>
      <c r="AO968" s="46">
        <f>J968*0.406936316695353</f>
        <v>0</v>
      </c>
      <c r="AP968" s="46">
        <f>J968*(1-0.406936316695353)</f>
        <v>0</v>
      </c>
      <c r="AQ968" s="42" t="s">
        <v>1648</v>
      </c>
      <c r="AV968" s="46">
        <f>AW968+AX968</f>
        <v>0</v>
      </c>
      <c r="AW968" s="46">
        <f>I968*AO968</f>
        <v>0</v>
      </c>
      <c r="AX968" s="46">
        <f>I968*AP968</f>
        <v>0</v>
      </c>
      <c r="AY968" s="42" t="s">
        <v>1616</v>
      </c>
      <c r="AZ968" s="42" t="s">
        <v>994</v>
      </c>
      <c r="BA968" s="1" t="s">
        <v>630</v>
      </c>
      <c r="BC968" s="46">
        <f>AW968+AX968</f>
        <v>0</v>
      </c>
      <c r="BD968" s="46">
        <f>J968/(100-BE968)*100</f>
        <v>0</v>
      </c>
      <c r="BE968" s="46">
        <v>0</v>
      </c>
      <c r="BF968" s="46">
        <f>968</f>
        <v>968</v>
      </c>
      <c r="BH968" s="46">
        <f>I968*AO968</f>
        <v>0</v>
      </c>
      <c r="BI968" s="46">
        <f>I968*AP968</f>
        <v>0</v>
      </c>
      <c r="BJ968" s="46">
        <f>I968*J968</f>
        <v>0</v>
      </c>
      <c r="BK968" s="46"/>
      <c r="BL968" s="46">
        <v>91</v>
      </c>
    </row>
    <row r="969" spans="1:15" ht="15" customHeight="1">
      <c r="A969" s="10"/>
      <c r="D969" s="32" t="s">
        <v>1776</v>
      </c>
      <c r="G969" s="32" t="s">
        <v>1566</v>
      </c>
      <c r="I969" s="58">
        <v>185.00000000000003</v>
      </c>
      <c r="O969" s="30"/>
    </row>
    <row r="970" spans="1:64" ht="15" customHeight="1">
      <c r="A970" s="52" t="s">
        <v>1814</v>
      </c>
      <c r="B970" s="43" t="s">
        <v>1471</v>
      </c>
      <c r="C970" s="43" t="s">
        <v>1871</v>
      </c>
      <c r="D970" s="61" t="s">
        <v>22</v>
      </c>
      <c r="E970" s="61"/>
      <c r="F970" s="61"/>
      <c r="G970" s="61"/>
      <c r="H970" s="43" t="s">
        <v>1365</v>
      </c>
      <c r="I970" s="46">
        <v>1260</v>
      </c>
      <c r="J970" s="46">
        <v>0</v>
      </c>
      <c r="K970" s="46">
        <f>I970*AO970</f>
        <v>0</v>
      </c>
      <c r="L970" s="46">
        <f>I970*AP970</f>
        <v>0</v>
      </c>
      <c r="M970" s="46">
        <f>I970*J970</f>
        <v>0</v>
      </c>
      <c r="N970" s="46">
        <v>0.20047</v>
      </c>
      <c r="O970" s="6" t="s">
        <v>1149</v>
      </c>
      <c r="Z970" s="46">
        <f>IF(AQ970="5",BJ970,0)</f>
        <v>0</v>
      </c>
      <c r="AB970" s="46">
        <f>IF(AQ970="1",BH970,0)</f>
        <v>0</v>
      </c>
      <c r="AC970" s="46">
        <f>IF(AQ970="1",BI970,0)</f>
        <v>0</v>
      </c>
      <c r="AD970" s="46">
        <f>IF(AQ970="7",BH970,0)</f>
        <v>0</v>
      </c>
      <c r="AE970" s="46">
        <f>IF(AQ970="7",BI970,0)</f>
        <v>0</v>
      </c>
      <c r="AF970" s="46">
        <f>IF(AQ970="2",BH970,0)</f>
        <v>0</v>
      </c>
      <c r="AG970" s="46">
        <f>IF(AQ970="2",BI970,0)</f>
        <v>0</v>
      </c>
      <c r="AH970" s="46">
        <f>IF(AQ970="0",BJ970,0)</f>
        <v>0</v>
      </c>
      <c r="AI970" s="1" t="s">
        <v>1471</v>
      </c>
      <c r="AJ970" s="46">
        <f>IF(AN970=0,M970,0)</f>
        <v>0</v>
      </c>
      <c r="AK970" s="46">
        <f>IF(AN970=15,M970,0)</f>
        <v>0</v>
      </c>
      <c r="AL970" s="46">
        <f>IF(AN970=21,M970,0)</f>
        <v>0</v>
      </c>
      <c r="AN970" s="46">
        <v>21</v>
      </c>
      <c r="AO970" s="46">
        <f>J970*0.768586678307109</f>
        <v>0</v>
      </c>
      <c r="AP970" s="46">
        <f>J970*(1-0.768586678307109)</f>
        <v>0</v>
      </c>
      <c r="AQ970" s="42" t="s">
        <v>1648</v>
      </c>
      <c r="AV970" s="46">
        <f>AW970+AX970</f>
        <v>0</v>
      </c>
      <c r="AW970" s="46">
        <f>I970*AO970</f>
        <v>0</v>
      </c>
      <c r="AX970" s="46">
        <f>I970*AP970</f>
        <v>0</v>
      </c>
      <c r="AY970" s="42" t="s">
        <v>1616</v>
      </c>
      <c r="AZ970" s="42" t="s">
        <v>994</v>
      </c>
      <c r="BA970" s="1" t="s">
        <v>630</v>
      </c>
      <c r="BC970" s="46">
        <f>AW970+AX970</f>
        <v>0</v>
      </c>
      <c r="BD970" s="46">
        <f>J970/(100-BE970)*100</f>
        <v>0</v>
      </c>
      <c r="BE970" s="46">
        <v>0</v>
      </c>
      <c r="BF970" s="46">
        <f>970</f>
        <v>970</v>
      </c>
      <c r="BH970" s="46">
        <f>I970*AO970</f>
        <v>0</v>
      </c>
      <c r="BI970" s="46">
        <f>I970*AP970</f>
        <v>0</v>
      </c>
      <c r="BJ970" s="46">
        <f>I970*J970</f>
        <v>0</v>
      </c>
      <c r="BK970" s="46"/>
      <c r="BL970" s="46">
        <v>91</v>
      </c>
    </row>
    <row r="971" spans="1:15" ht="15" customHeight="1">
      <c r="A971" s="10"/>
      <c r="D971" s="32" t="s">
        <v>1421</v>
      </c>
      <c r="G971" s="32" t="s">
        <v>755</v>
      </c>
      <c r="I971" s="58">
        <v>1260</v>
      </c>
      <c r="O971" s="30"/>
    </row>
    <row r="972" spans="1:64" ht="15" customHeight="1">
      <c r="A972" s="52" t="s">
        <v>664</v>
      </c>
      <c r="B972" s="43" t="s">
        <v>1471</v>
      </c>
      <c r="C972" s="43" t="s">
        <v>125</v>
      </c>
      <c r="D972" s="61" t="s">
        <v>22</v>
      </c>
      <c r="E972" s="61"/>
      <c r="F972" s="61"/>
      <c r="G972" s="61"/>
      <c r="H972" s="43" t="s">
        <v>1365</v>
      </c>
      <c r="I972" s="46">
        <v>320</v>
      </c>
      <c r="J972" s="46">
        <v>0</v>
      </c>
      <c r="K972" s="46">
        <f>I972*AO972</f>
        <v>0</v>
      </c>
      <c r="L972" s="46">
        <f>I972*AP972</f>
        <v>0</v>
      </c>
      <c r="M972" s="46">
        <f>I972*J972</f>
        <v>0</v>
      </c>
      <c r="N972" s="46">
        <v>0.16108</v>
      </c>
      <c r="O972" s="6" t="s">
        <v>1149</v>
      </c>
      <c r="Z972" s="46">
        <f>IF(AQ972="5",BJ972,0)</f>
        <v>0</v>
      </c>
      <c r="AB972" s="46">
        <f>IF(AQ972="1",BH972,0)</f>
        <v>0</v>
      </c>
      <c r="AC972" s="46">
        <f>IF(AQ972="1",BI972,0)</f>
        <v>0</v>
      </c>
      <c r="AD972" s="46">
        <f>IF(AQ972="7",BH972,0)</f>
        <v>0</v>
      </c>
      <c r="AE972" s="46">
        <f>IF(AQ972="7",BI972,0)</f>
        <v>0</v>
      </c>
      <c r="AF972" s="46">
        <f>IF(AQ972="2",BH972,0)</f>
        <v>0</v>
      </c>
      <c r="AG972" s="46">
        <f>IF(AQ972="2",BI972,0)</f>
        <v>0</v>
      </c>
      <c r="AH972" s="46">
        <f>IF(AQ972="0",BJ972,0)</f>
        <v>0</v>
      </c>
      <c r="AI972" s="1" t="s">
        <v>1471</v>
      </c>
      <c r="AJ972" s="46">
        <f>IF(AN972=0,M972,0)</f>
        <v>0</v>
      </c>
      <c r="AK972" s="46">
        <f>IF(AN972=15,M972,0)</f>
        <v>0</v>
      </c>
      <c r="AL972" s="46">
        <f>IF(AN972=21,M972,0)</f>
        <v>0</v>
      </c>
      <c r="AN972" s="46">
        <v>21</v>
      </c>
      <c r="AO972" s="46">
        <f>J972*0.712017580681005</f>
        <v>0</v>
      </c>
      <c r="AP972" s="46">
        <f>J972*(1-0.712017580681005)</f>
        <v>0</v>
      </c>
      <c r="AQ972" s="42" t="s">
        <v>1648</v>
      </c>
      <c r="AV972" s="46">
        <f>AW972+AX972</f>
        <v>0</v>
      </c>
      <c r="AW972" s="46">
        <f>I972*AO972</f>
        <v>0</v>
      </c>
      <c r="AX972" s="46">
        <f>I972*AP972</f>
        <v>0</v>
      </c>
      <c r="AY972" s="42" t="s">
        <v>1616</v>
      </c>
      <c r="AZ972" s="42" t="s">
        <v>994</v>
      </c>
      <c r="BA972" s="1" t="s">
        <v>630</v>
      </c>
      <c r="BC972" s="46">
        <f>AW972+AX972</f>
        <v>0</v>
      </c>
      <c r="BD972" s="46">
        <f>J972/(100-BE972)*100</f>
        <v>0</v>
      </c>
      <c r="BE972" s="46">
        <v>0</v>
      </c>
      <c r="BF972" s="46">
        <f>972</f>
        <v>972</v>
      </c>
      <c r="BH972" s="46">
        <f>I972*AO972</f>
        <v>0</v>
      </c>
      <c r="BI972" s="46">
        <f>I972*AP972</f>
        <v>0</v>
      </c>
      <c r="BJ972" s="46">
        <f>I972*J972</f>
        <v>0</v>
      </c>
      <c r="BK972" s="46"/>
      <c r="BL972" s="46">
        <v>91</v>
      </c>
    </row>
    <row r="973" spans="1:15" ht="15" customHeight="1">
      <c r="A973" s="10"/>
      <c r="D973" s="32" t="s">
        <v>628</v>
      </c>
      <c r="G973" s="32" t="s">
        <v>953</v>
      </c>
      <c r="I973" s="58">
        <v>320</v>
      </c>
      <c r="O973" s="30"/>
    </row>
    <row r="974" spans="1:64" ht="15" customHeight="1">
      <c r="A974" s="52" t="s">
        <v>88</v>
      </c>
      <c r="B974" s="43" t="s">
        <v>1471</v>
      </c>
      <c r="C974" s="43" t="s">
        <v>731</v>
      </c>
      <c r="D974" s="61" t="s">
        <v>143</v>
      </c>
      <c r="E974" s="61"/>
      <c r="F974" s="61"/>
      <c r="G974" s="61"/>
      <c r="H974" s="43" t="s">
        <v>1365</v>
      </c>
      <c r="I974" s="46">
        <v>93</v>
      </c>
      <c r="J974" s="46">
        <v>0</v>
      </c>
      <c r="K974" s="46">
        <f>I974*AO974</f>
        <v>0</v>
      </c>
      <c r="L974" s="46">
        <f>I974*AP974</f>
        <v>0</v>
      </c>
      <c r="M974" s="46">
        <f>I974*J974</f>
        <v>0</v>
      </c>
      <c r="N974" s="46">
        <v>0.1952</v>
      </c>
      <c r="O974" s="6" t="s">
        <v>1149</v>
      </c>
      <c r="Z974" s="46">
        <f>IF(AQ974="5",BJ974,0)</f>
        <v>0</v>
      </c>
      <c r="AB974" s="46">
        <f>IF(AQ974="1",BH974,0)</f>
        <v>0</v>
      </c>
      <c r="AC974" s="46">
        <f>IF(AQ974="1",BI974,0)</f>
        <v>0</v>
      </c>
      <c r="AD974" s="46">
        <f>IF(AQ974="7",BH974,0)</f>
        <v>0</v>
      </c>
      <c r="AE974" s="46">
        <f>IF(AQ974="7",BI974,0)</f>
        <v>0</v>
      </c>
      <c r="AF974" s="46">
        <f>IF(AQ974="2",BH974,0)</f>
        <v>0</v>
      </c>
      <c r="AG974" s="46">
        <f>IF(AQ974="2",BI974,0)</f>
        <v>0</v>
      </c>
      <c r="AH974" s="46">
        <f>IF(AQ974="0",BJ974,0)</f>
        <v>0</v>
      </c>
      <c r="AI974" s="1" t="s">
        <v>1471</v>
      </c>
      <c r="AJ974" s="46">
        <f>IF(AN974=0,M974,0)</f>
        <v>0</v>
      </c>
      <c r="AK974" s="46">
        <f>IF(AN974=15,M974,0)</f>
        <v>0</v>
      </c>
      <c r="AL974" s="46">
        <f>IF(AN974=21,M974,0)</f>
        <v>0</v>
      </c>
      <c r="AN974" s="46">
        <v>21</v>
      </c>
      <c r="AO974" s="46">
        <f>J974*0.693116178067318</f>
        <v>0</v>
      </c>
      <c r="AP974" s="46">
        <f>J974*(1-0.693116178067318)</f>
        <v>0</v>
      </c>
      <c r="AQ974" s="42" t="s">
        <v>1648</v>
      </c>
      <c r="AV974" s="46">
        <f>AW974+AX974</f>
        <v>0</v>
      </c>
      <c r="AW974" s="46">
        <f>I974*AO974</f>
        <v>0</v>
      </c>
      <c r="AX974" s="46">
        <f>I974*AP974</f>
        <v>0</v>
      </c>
      <c r="AY974" s="42" t="s">
        <v>1616</v>
      </c>
      <c r="AZ974" s="42" t="s">
        <v>994</v>
      </c>
      <c r="BA974" s="1" t="s">
        <v>630</v>
      </c>
      <c r="BC974" s="46">
        <f>AW974+AX974</f>
        <v>0</v>
      </c>
      <c r="BD974" s="46">
        <f>J974/(100-BE974)*100</f>
        <v>0</v>
      </c>
      <c r="BE974" s="46">
        <v>0</v>
      </c>
      <c r="BF974" s="46">
        <f>974</f>
        <v>974</v>
      </c>
      <c r="BH974" s="46">
        <f>I974*AO974</f>
        <v>0</v>
      </c>
      <c r="BI974" s="46">
        <f>I974*AP974</f>
        <v>0</v>
      </c>
      <c r="BJ974" s="46">
        <f>I974*J974</f>
        <v>0</v>
      </c>
      <c r="BK974" s="46"/>
      <c r="BL974" s="46">
        <v>91</v>
      </c>
    </row>
    <row r="975" spans="1:15" ht="15" customHeight="1">
      <c r="A975" s="10"/>
      <c r="D975" s="32" t="s">
        <v>1511</v>
      </c>
      <c r="G975" s="32" t="s">
        <v>1757</v>
      </c>
      <c r="I975" s="58">
        <v>93.00000000000001</v>
      </c>
      <c r="O975" s="30"/>
    </row>
    <row r="976" spans="1:64" ht="15" customHeight="1">
      <c r="A976" s="52" t="s">
        <v>944</v>
      </c>
      <c r="B976" s="43" t="s">
        <v>1471</v>
      </c>
      <c r="C976" s="43" t="s">
        <v>1267</v>
      </c>
      <c r="D976" s="61" t="s">
        <v>1266</v>
      </c>
      <c r="E976" s="61"/>
      <c r="F976" s="61"/>
      <c r="G976" s="61"/>
      <c r="H976" s="43" t="s">
        <v>1365</v>
      </c>
      <c r="I976" s="46">
        <v>198</v>
      </c>
      <c r="J976" s="46">
        <v>0</v>
      </c>
      <c r="K976" s="46">
        <f>I976*AO976</f>
        <v>0</v>
      </c>
      <c r="L976" s="46">
        <f>I976*AP976</f>
        <v>0</v>
      </c>
      <c r="M976" s="46">
        <f>I976*J976</f>
        <v>0</v>
      </c>
      <c r="N976" s="46">
        <v>0.2414</v>
      </c>
      <c r="O976" s="6" t="s">
        <v>1149</v>
      </c>
      <c r="Z976" s="46">
        <f>IF(AQ976="5",BJ976,0)</f>
        <v>0</v>
      </c>
      <c r="AB976" s="46">
        <f>IF(AQ976="1",BH976,0)</f>
        <v>0</v>
      </c>
      <c r="AC976" s="46">
        <f>IF(AQ976="1",BI976,0)</f>
        <v>0</v>
      </c>
      <c r="AD976" s="46">
        <f>IF(AQ976="7",BH976,0)</f>
        <v>0</v>
      </c>
      <c r="AE976" s="46">
        <f>IF(AQ976="7",BI976,0)</f>
        <v>0</v>
      </c>
      <c r="AF976" s="46">
        <f>IF(AQ976="2",BH976,0)</f>
        <v>0</v>
      </c>
      <c r="AG976" s="46">
        <f>IF(AQ976="2",BI976,0)</f>
        <v>0</v>
      </c>
      <c r="AH976" s="46">
        <f>IF(AQ976="0",BJ976,0)</f>
        <v>0</v>
      </c>
      <c r="AI976" s="1" t="s">
        <v>1471</v>
      </c>
      <c r="AJ976" s="46">
        <f>IF(AN976=0,M976,0)</f>
        <v>0</v>
      </c>
      <c r="AK976" s="46">
        <f>IF(AN976=15,M976,0)</f>
        <v>0</v>
      </c>
      <c r="AL976" s="46">
        <f>IF(AN976=21,M976,0)</f>
        <v>0</v>
      </c>
      <c r="AN976" s="46">
        <v>21</v>
      </c>
      <c r="AO976" s="46">
        <f>J976*0.911206896551724</f>
        <v>0</v>
      </c>
      <c r="AP976" s="46">
        <f>J976*(1-0.911206896551724)</f>
        <v>0</v>
      </c>
      <c r="AQ976" s="42" t="s">
        <v>1648</v>
      </c>
      <c r="AV976" s="46">
        <f>AW976+AX976</f>
        <v>0</v>
      </c>
      <c r="AW976" s="46">
        <f>I976*AO976</f>
        <v>0</v>
      </c>
      <c r="AX976" s="46">
        <f>I976*AP976</f>
        <v>0</v>
      </c>
      <c r="AY976" s="42" t="s">
        <v>1616</v>
      </c>
      <c r="AZ976" s="42" t="s">
        <v>994</v>
      </c>
      <c r="BA976" s="1" t="s">
        <v>630</v>
      </c>
      <c r="BC976" s="46">
        <f>AW976+AX976</f>
        <v>0</v>
      </c>
      <c r="BD976" s="46">
        <f>J976/(100-BE976)*100</f>
        <v>0</v>
      </c>
      <c r="BE976" s="46">
        <v>0</v>
      </c>
      <c r="BF976" s="46">
        <f>976</f>
        <v>976</v>
      </c>
      <c r="BH976" s="46">
        <f>I976*AO976</f>
        <v>0</v>
      </c>
      <c r="BI976" s="46">
        <f>I976*AP976</f>
        <v>0</v>
      </c>
      <c r="BJ976" s="46">
        <f>I976*J976</f>
        <v>0</v>
      </c>
      <c r="BK976" s="46"/>
      <c r="BL976" s="46">
        <v>91</v>
      </c>
    </row>
    <row r="977" spans="1:15" ht="15" customHeight="1">
      <c r="A977" s="10"/>
      <c r="D977" s="32" t="s">
        <v>17</v>
      </c>
      <c r="G977" s="32" t="s">
        <v>1642</v>
      </c>
      <c r="I977" s="58">
        <v>198.00000000000003</v>
      </c>
      <c r="O977" s="30"/>
    </row>
    <row r="978" spans="1:64" ht="15" customHeight="1">
      <c r="A978" s="52" t="s">
        <v>855</v>
      </c>
      <c r="B978" s="43" t="s">
        <v>1471</v>
      </c>
      <c r="C978" s="43" t="s">
        <v>1284</v>
      </c>
      <c r="D978" s="61" t="s">
        <v>1015</v>
      </c>
      <c r="E978" s="61"/>
      <c r="F978" s="61"/>
      <c r="G978" s="61"/>
      <c r="H978" s="43" t="s">
        <v>1365</v>
      </c>
      <c r="I978" s="46">
        <v>64</v>
      </c>
      <c r="J978" s="46">
        <v>0</v>
      </c>
      <c r="K978" s="46">
        <f>I978*AO978</f>
        <v>0</v>
      </c>
      <c r="L978" s="46">
        <f>I978*AP978</f>
        <v>0</v>
      </c>
      <c r="M978" s="46">
        <f>I978*J978</f>
        <v>0</v>
      </c>
      <c r="N978" s="46">
        <v>0</v>
      </c>
      <c r="O978" s="6" t="s">
        <v>1149</v>
      </c>
      <c r="Z978" s="46">
        <f>IF(AQ978="5",BJ978,0)</f>
        <v>0</v>
      </c>
      <c r="AB978" s="46">
        <f>IF(AQ978="1",BH978,0)</f>
        <v>0</v>
      </c>
      <c r="AC978" s="46">
        <f>IF(AQ978="1",BI978,0)</f>
        <v>0</v>
      </c>
      <c r="AD978" s="46">
        <f>IF(AQ978="7",BH978,0)</f>
        <v>0</v>
      </c>
      <c r="AE978" s="46">
        <f>IF(AQ978="7",BI978,0)</f>
        <v>0</v>
      </c>
      <c r="AF978" s="46">
        <f>IF(AQ978="2",BH978,0)</f>
        <v>0</v>
      </c>
      <c r="AG978" s="46">
        <f>IF(AQ978="2",BI978,0)</f>
        <v>0</v>
      </c>
      <c r="AH978" s="46">
        <f>IF(AQ978="0",BJ978,0)</f>
        <v>0</v>
      </c>
      <c r="AI978" s="1" t="s">
        <v>1471</v>
      </c>
      <c r="AJ978" s="46">
        <f>IF(AN978=0,M978,0)</f>
        <v>0</v>
      </c>
      <c r="AK978" s="46">
        <f>IF(AN978=15,M978,0)</f>
        <v>0</v>
      </c>
      <c r="AL978" s="46">
        <f>IF(AN978=21,M978,0)</f>
        <v>0</v>
      </c>
      <c r="AN978" s="46">
        <v>21</v>
      </c>
      <c r="AO978" s="46">
        <f>J978*0.575753876205591</f>
        <v>0</v>
      </c>
      <c r="AP978" s="46">
        <f>J978*(1-0.575753876205591)</f>
        <v>0</v>
      </c>
      <c r="AQ978" s="42" t="s">
        <v>1648</v>
      </c>
      <c r="AV978" s="46">
        <f>AW978+AX978</f>
        <v>0</v>
      </c>
      <c r="AW978" s="46">
        <f>I978*AO978</f>
        <v>0</v>
      </c>
      <c r="AX978" s="46">
        <f>I978*AP978</f>
        <v>0</v>
      </c>
      <c r="AY978" s="42" t="s">
        <v>1616</v>
      </c>
      <c r="AZ978" s="42" t="s">
        <v>994</v>
      </c>
      <c r="BA978" s="1" t="s">
        <v>630</v>
      </c>
      <c r="BC978" s="46">
        <f>AW978+AX978</f>
        <v>0</v>
      </c>
      <c r="BD978" s="46">
        <f>J978/(100-BE978)*100</f>
        <v>0</v>
      </c>
      <c r="BE978" s="46">
        <v>0</v>
      </c>
      <c r="BF978" s="46">
        <f>978</f>
        <v>978</v>
      </c>
      <c r="BH978" s="46">
        <f>I978*AO978</f>
        <v>0</v>
      </c>
      <c r="BI978" s="46">
        <f>I978*AP978</f>
        <v>0</v>
      </c>
      <c r="BJ978" s="46">
        <f>I978*J978</f>
        <v>0</v>
      </c>
      <c r="BK978" s="46"/>
      <c r="BL978" s="46">
        <v>91</v>
      </c>
    </row>
    <row r="979" spans="1:15" ht="15" customHeight="1">
      <c r="A979" s="10"/>
      <c r="D979" s="32" t="s">
        <v>810</v>
      </c>
      <c r="G979" s="32" t="s">
        <v>1163</v>
      </c>
      <c r="I979" s="58">
        <v>64</v>
      </c>
      <c r="O979" s="30"/>
    </row>
    <row r="980" spans="1:64" ht="15" customHeight="1">
      <c r="A980" s="52" t="s">
        <v>376</v>
      </c>
      <c r="B980" s="43" t="s">
        <v>1471</v>
      </c>
      <c r="C980" s="43" t="s">
        <v>1599</v>
      </c>
      <c r="D980" s="61" t="s">
        <v>809</v>
      </c>
      <c r="E980" s="61"/>
      <c r="F980" s="61"/>
      <c r="G980" s="61"/>
      <c r="H980" s="43" t="s">
        <v>1365</v>
      </c>
      <c r="I980" s="46">
        <v>58</v>
      </c>
      <c r="J980" s="46">
        <v>0</v>
      </c>
      <c r="K980" s="46">
        <f>I980*AO980</f>
        <v>0</v>
      </c>
      <c r="L980" s="46">
        <f>I980*AP980</f>
        <v>0</v>
      </c>
      <c r="M980" s="46">
        <f>I980*J980</f>
        <v>0</v>
      </c>
      <c r="N980" s="46">
        <v>2E-05</v>
      </c>
      <c r="O980" s="6" t="s">
        <v>1149</v>
      </c>
      <c r="Z980" s="46">
        <f>IF(AQ980="5",BJ980,0)</f>
        <v>0</v>
      </c>
      <c r="AB980" s="46">
        <f>IF(AQ980="1",BH980,0)</f>
        <v>0</v>
      </c>
      <c r="AC980" s="46">
        <f>IF(AQ980="1",BI980,0)</f>
        <v>0</v>
      </c>
      <c r="AD980" s="46">
        <f>IF(AQ980="7",BH980,0)</f>
        <v>0</v>
      </c>
      <c r="AE980" s="46">
        <f>IF(AQ980="7",BI980,0)</f>
        <v>0</v>
      </c>
      <c r="AF980" s="46">
        <f>IF(AQ980="2",BH980,0)</f>
        <v>0</v>
      </c>
      <c r="AG980" s="46">
        <f>IF(AQ980="2",BI980,0)</f>
        <v>0</v>
      </c>
      <c r="AH980" s="46">
        <f>IF(AQ980="0",BJ980,0)</f>
        <v>0</v>
      </c>
      <c r="AI980" s="1" t="s">
        <v>1471</v>
      </c>
      <c r="AJ980" s="46">
        <f>IF(AN980=0,M980,0)</f>
        <v>0</v>
      </c>
      <c r="AK980" s="46">
        <f>IF(AN980=15,M980,0)</f>
        <v>0</v>
      </c>
      <c r="AL980" s="46">
        <f>IF(AN980=21,M980,0)</f>
        <v>0</v>
      </c>
      <c r="AN980" s="46">
        <v>21</v>
      </c>
      <c r="AO980" s="46">
        <f>J980*0.33030303030303</f>
        <v>0</v>
      </c>
      <c r="AP980" s="46">
        <f>J980*(1-0.33030303030303)</f>
        <v>0</v>
      </c>
      <c r="AQ980" s="42" t="s">
        <v>1648</v>
      </c>
      <c r="AV980" s="46">
        <f>AW980+AX980</f>
        <v>0</v>
      </c>
      <c r="AW980" s="46">
        <f>I980*AO980</f>
        <v>0</v>
      </c>
      <c r="AX980" s="46">
        <f>I980*AP980</f>
        <v>0</v>
      </c>
      <c r="AY980" s="42" t="s">
        <v>1616</v>
      </c>
      <c r="AZ980" s="42" t="s">
        <v>994</v>
      </c>
      <c r="BA980" s="1" t="s">
        <v>630</v>
      </c>
      <c r="BC980" s="46">
        <f>AW980+AX980</f>
        <v>0</v>
      </c>
      <c r="BD980" s="46">
        <f>J980/(100-BE980)*100</f>
        <v>0</v>
      </c>
      <c r="BE980" s="46">
        <v>0</v>
      </c>
      <c r="BF980" s="46">
        <f>980</f>
        <v>980</v>
      </c>
      <c r="BH980" s="46">
        <f>I980*AO980</f>
        <v>0</v>
      </c>
      <c r="BI980" s="46">
        <f>I980*AP980</f>
        <v>0</v>
      </c>
      <c r="BJ980" s="46">
        <f>I980*J980</f>
        <v>0</v>
      </c>
      <c r="BK980" s="46"/>
      <c r="BL980" s="46">
        <v>91</v>
      </c>
    </row>
    <row r="981" spans="1:15" ht="15" customHeight="1">
      <c r="A981" s="10"/>
      <c r="D981" s="32" t="s">
        <v>1631</v>
      </c>
      <c r="G981" s="32" t="s">
        <v>1163</v>
      </c>
      <c r="I981" s="58">
        <v>58.00000000000001</v>
      </c>
      <c r="O981" s="30"/>
    </row>
    <row r="982" spans="1:47" ht="15" customHeight="1">
      <c r="A982" s="3" t="s">
        <v>1163</v>
      </c>
      <c r="B982" s="9" t="s">
        <v>1471</v>
      </c>
      <c r="C982" s="9" t="s">
        <v>925</v>
      </c>
      <c r="D982" s="64" t="s">
        <v>1246</v>
      </c>
      <c r="E982" s="64"/>
      <c r="F982" s="64"/>
      <c r="G982" s="64"/>
      <c r="H982" s="41" t="s">
        <v>1537</v>
      </c>
      <c r="I982" s="41" t="s">
        <v>1537</v>
      </c>
      <c r="J982" s="41" t="s">
        <v>1537</v>
      </c>
      <c r="K982" s="50">
        <f>SUM(K983:K986)</f>
        <v>0</v>
      </c>
      <c r="L982" s="50">
        <f>SUM(L983:L986)</f>
        <v>0</v>
      </c>
      <c r="M982" s="50">
        <f>SUM(M983:M986)</f>
        <v>0</v>
      </c>
      <c r="N982" s="1" t="s">
        <v>1163</v>
      </c>
      <c r="O982" s="45" t="s">
        <v>1163</v>
      </c>
      <c r="AI982" s="1" t="s">
        <v>1471</v>
      </c>
      <c r="AS982" s="50">
        <f>SUM(AJ983:AJ986)</f>
        <v>0</v>
      </c>
      <c r="AT982" s="50">
        <f>SUM(AK983:AK986)</f>
        <v>0</v>
      </c>
      <c r="AU982" s="50">
        <f>SUM(AL983:AL986)</f>
        <v>0</v>
      </c>
    </row>
    <row r="983" spans="1:64" ht="15" customHeight="1">
      <c r="A983" s="52" t="s">
        <v>992</v>
      </c>
      <c r="B983" s="43" t="s">
        <v>1471</v>
      </c>
      <c r="C983" s="43" t="s">
        <v>1175</v>
      </c>
      <c r="D983" s="61" t="s">
        <v>466</v>
      </c>
      <c r="E983" s="61"/>
      <c r="F983" s="61"/>
      <c r="G983" s="61"/>
      <c r="H983" s="43" t="s">
        <v>392</v>
      </c>
      <c r="I983" s="46">
        <v>10</v>
      </c>
      <c r="J983" s="46">
        <v>0</v>
      </c>
      <c r="K983" s="46">
        <f>I983*AO983</f>
        <v>0</v>
      </c>
      <c r="L983" s="46">
        <f>I983*AP983</f>
        <v>0</v>
      </c>
      <c r="M983" s="46">
        <f>I983*J983</f>
        <v>0</v>
      </c>
      <c r="N983" s="46">
        <v>0</v>
      </c>
      <c r="O983" s="6" t="s">
        <v>1149</v>
      </c>
      <c r="Z983" s="46">
        <f>IF(AQ983="5",BJ983,0)</f>
        <v>0</v>
      </c>
      <c r="AB983" s="46">
        <f>IF(AQ983="1",BH983,0)</f>
        <v>0</v>
      </c>
      <c r="AC983" s="46">
        <f>IF(AQ983="1",BI983,0)</f>
        <v>0</v>
      </c>
      <c r="AD983" s="46">
        <f>IF(AQ983="7",BH983,0)</f>
        <v>0</v>
      </c>
      <c r="AE983" s="46">
        <f>IF(AQ983="7",BI983,0)</f>
        <v>0</v>
      </c>
      <c r="AF983" s="46">
        <f>IF(AQ983="2",BH983,0)</f>
        <v>0</v>
      </c>
      <c r="AG983" s="46">
        <f>IF(AQ983="2",BI983,0)</f>
        <v>0</v>
      </c>
      <c r="AH983" s="46">
        <f>IF(AQ983="0",BJ983,0)</f>
        <v>0</v>
      </c>
      <c r="AI983" s="1" t="s">
        <v>1471</v>
      </c>
      <c r="AJ983" s="46">
        <f>IF(AN983=0,M983,0)</f>
        <v>0</v>
      </c>
      <c r="AK983" s="46">
        <f>IF(AN983=15,M983,0)</f>
        <v>0</v>
      </c>
      <c r="AL983" s="46">
        <f>IF(AN983=21,M983,0)</f>
        <v>0</v>
      </c>
      <c r="AN983" s="46">
        <v>21</v>
      </c>
      <c r="AO983" s="46">
        <f>J983*0</f>
        <v>0</v>
      </c>
      <c r="AP983" s="46">
        <f>J983*(1-0)</f>
        <v>0</v>
      </c>
      <c r="AQ983" s="42" t="s">
        <v>1648</v>
      </c>
      <c r="AV983" s="46">
        <f>AW983+AX983</f>
        <v>0</v>
      </c>
      <c r="AW983" s="46">
        <f>I983*AO983</f>
        <v>0</v>
      </c>
      <c r="AX983" s="46">
        <f>I983*AP983</f>
        <v>0</v>
      </c>
      <c r="AY983" s="42" t="s">
        <v>1457</v>
      </c>
      <c r="AZ983" s="42" t="s">
        <v>994</v>
      </c>
      <c r="BA983" s="1" t="s">
        <v>630</v>
      </c>
      <c r="BC983" s="46">
        <f>AW983+AX983</f>
        <v>0</v>
      </c>
      <c r="BD983" s="46">
        <f>J983/(100-BE983)*100</f>
        <v>0</v>
      </c>
      <c r="BE983" s="46">
        <v>0</v>
      </c>
      <c r="BF983" s="46">
        <f>983</f>
        <v>983</v>
      </c>
      <c r="BH983" s="46">
        <f>I983*AO983</f>
        <v>0</v>
      </c>
      <c r="BI983" s="46">
        <f>I983*AP983</f>
        <v>0</v>
      </c>
      <c r="BJ983" s="46">
        <f>I983*J983</f>
        <v>0</v>
      </c>
      <c r="BK983" s="46"/>
      <c r="BL983" s="46">
        <v>96</v>
      </c>
    </row>
    <row r="984" spans="1:64" ht="15" customHeight="1">
      <c r="A984" s="52" t="s">
        <v>48</v>
      </c>
      <c r="B984" s="43" t="s">
        <v>1471</v>
      </c>
      <c r="C984" s="43" t="s">
        <v>1161</v>
      </c>
      <c r="D984" s="61" t="s">
        <v>1357</v>
      </c>
      <c r="E984" s="61"/>
      <c r="F984" s="61"/>
      <c r="G984" s="61"/>
      <c r="H984" s="43" t="s">
        <v>392</v>
      </c>
      <c r="I984" s="46">
        <v>10</v>
      </c>
      <c r="J984" s="46">
        <v>0</v>
      </c>
      <c r="K984" s="46">
        <f>I984*AO984</f>
        <v>0</v>
      </c>
      <c r="L984" s="46">
        <f>I984*AP984</f>
        <v>0</v>
      </c>
      <c r="M984" s="46">
        <f>I984*J984</f>
        <v>0</v>
      </c>
      <c r="N984" s="46">
        <v>0</v>
      </c>
      <c r="O984" s="6" t="s">
        <v>1149</v>
      </c>
      <c r="Z984" s="46">
        <f>IF(AQ984="5",BJ984,0)</f>
        <v>0</v>
      </c>
      <c r="AB984" s="46">
        <f>IF(AQ984="1",BH984,0)</f>
        <v>0</v>
      </c>
      <c r="AC984" s="46">
        <f>IF(AQ984="1",BI984,0)</f>
        <v>0</v>
      </c>
      <c r="AD984" s="46">
        <f>IF(AQ984="7",BH984,0)</f>
        <v>0</v>
      </c>
      <c r="AE984" s="46">
        <f>IF(AQ984="7",BI984,0)</f>
        <v>0</v>
      </c>
      <c r="AF984" s="46">
        <f>IF(AQ984="2",BH984,0)</f>
        <v>0</v>
      </c>
      <c r="AG984" s="46">
        <f>IF(AQ984="2",BI984,0)</f>
        <v>0</v>
      </c>
      <c r="AH984" s="46">
        <f>IF(AQ984="0",BJ984,0)</f>
        <v>0</v>
      </c>
      <c r="AI984" s="1" t="s">
        <v>1471</v>
      </c>
      <c r="AJ984" s="46">
        <f>IF(AN984=0,M984,0)</f>
        <v>0</v>
      </c>
      <c r="AK984" s="46">
        <f>IF(AN984=15,M984,0)</f>
        <v>0</v>
      </c>
      <c r="AL984" s="46">
        <f>IF(AN984=21,M984,0)</f>
        <v>0</v>
      </c>
      <c r="AN984" s="46">
        <v>21</v>
      </c>
      <c r="AO984" s="46">
        <f>J984*0</f>
        <v>0</v>
      </c>
      <c r="AP984" s="46">
        <f>J984*(1-0)</f>
        <v>0</v>
      </c>
      <c r="AQ984" s="42" t="s">
        <v>1648</v>
      </c>
      <c r="AV984" s="46">
        <f>AW984+AX984</f>
        <v>0</v>
      </c>
      <c r="AW984" s="46">
        <f>I984*AO984</f>
        <v>0</v>
      </c>
      <c r="AX984" s="46">
        <f>I984*AP984</f>
        <v>0</v>
      </c>
      <c r="AY984" s="42" t="s">
        <v>1457</v>
      </c>
      <c r="AZ984" s="42" t="s">
        <v>994</v>
      </c>
      <c r="BA984" s="1" t="s">
        <v>630</v>
      </c>
      <c r="BC984" s="46">
        <f>AW984+AX984</f>
        <v>0</v>
      </c>
      <c r="BD984" s="46">
        <f>J984/(100-BE984)*100</f>
        <v>0</v>
      </c>
      <c r="BE984" s="46">
        <v>0</v>
      </c>
      <c r="BF984" s="46">
        <f>984</f>
        <v>984</v>
      </c>
      <c r="BH984" s="46">
        <f>I984*AO984</f>
        <v>0</v>
      </c>
      <c r="BI984" s="46">
        <f>I984*AP984</f>
        <v>0</v>
      </c>
      <c r="BJ984" s="46">
        <f>I984*J984</f>
        <v>0</v>
      </c>
      <c r="BK984" s="46"/>
      <c r="BL984" s="46">
        <v>96</v>
      </c>
    </row>
    <row r="985" spans="1:15" ht="15" customHeight="1">
      <c r="A985" s="10"/>
      <c r="D985" s="32" t="s">
        <v>965</v>
      </c>
      <c r="G985" s="32" t="s">
        <v>1163</v>
      </c>
      <c r="I985" s="58">
        <v>10</v>
      </c>
      <c r="O985" s="30"/>
    </row>
    <row r="986" spans="1:64" ht="15" customHeight="1">
      <c r="A986" s="52" t="s">
        <v>1827</v>
      </c>
      <c r="B986" s="43" t="s">
        <v>1471</v>
      </c>
      <c r="C986" s="43" t="s">
        <v>609</v>
      </c>
      <c r="D986" s="61" t="s">
        <v>1422</v>
      </c>
      <c r="E986" s="61"/>
      <c r="F986" s="61"/>
      <c r="G986" s="61"/>
      <c r="H986" s="43" t="s">
        <v>392</v>
      </c>
      <c r="I986" s="46">
        <v>10</v>
      </c>
      <c r="J986" s="46">
        <v>0</v>
      </c>
      <c r="K986" s="46">
        <f>I986*AO986</f>
        <v>0</v>
      </c>
      <c r="L986" s="46">
        <f>I986*AP986</f>
        <v>0</v>
      </c>
      <c r="M986" s="46">
        <f>I986*J986</f>
        <v>0</v>
      </c>
      <c r="N986" s="46">
        <v>0</v>
      </c>
      <c r="O986" s="6" t="s">
        <v>1149</v>
      </c>
      <c r="Z986" s="46">
        <f>IF(AQ986="5",BJ986,0)</f>
        <v>0</v>
      </c>
      <c r="AB986" s="46">
        <f>IF(AQ986="1",BH986,0)</f>
        <v>0</v>
      </c>
      <c r="AC986" s="46">
        <f>IF(AQ986="1",BI986,0)</f>
        <v>0</v>
      </c>
      <c r="AD986" s="46">
        <f>IF(AQ986="7",BH986,0)</f>
        <v>0</v>
      </c>
      <c r="AE986" s="46">
        <f>IF(AQ986="7",BI986,0)</f>
        <v>0</v>
      </c>
      <c r="AF986" s="46">
        <f>IF(AQ986="2",BH986,0)</f>
        <v>0</v>
      </c>
      <c r="AG986" s="46">
        <f>IF(AQ986="2",BI986,0)</f>
        <v>0</v>
      </c>
      <c r="AH986" s="46">
        <f>IF(AQ986="0",BJ986,0)</f>
        <v>0</v>
      </c>
      <c r="AI986" s="1" t="s">
        <v>1471</v>
      </c>
      <c r="AJ986" s="46">
        <f>IF(AN986=0,M986,0)</f>
        <v>0</v>
      </c>
      <c r="AK986" s="46">
        <f>IF(AN986=15,M986,0)</f>
        <v>0</v>
      </c>
      <c r="AL986" s="46">
        <f>IF(AN986=21,M986,0)</f>
        <v>0</v>
      </c>
      <c r="AN986" s="46">
        <v>21</v>
      </c>
      <c r="AO986" s="46">
        <f>J986*0</f>
        <v>0</v>
      </c>
      <c r="AP986" s="46">
        <f>J986*(1-0)</f>
        <v>0</v>
      </c>
      <c r="AQ986" s="42" t="s">
        <v>1648</v>
      </c>
      <c r="AV986" s="46">
        <f>AW986+AX986</f>
        <v>0</v>
      </c>
      <c r="AW986" s="46">
        <f>I986*AO986</f>
        <v>0</v>
      </c>
      <c r="AX986" s="46">
        <f>I986*AP986</f>
        <v>0</v>
      </c>
      <c r="AY986" s="42" t="s">
        <v>1457</v>
      </c>
      <c r="AZ986" s="42" t="s">
        <v>994</v>
      </c>
      <c r="BA986" s="1" t="s">
        <v>630</v>
      </c>
      <c r="BC986" s="46">
        <f>AW986+AX986</f>
        <v>0</v>
      </c>
      <c r="BD986" s="46">
        <f>J986/(100-BE986)*100</f>
        <v>0</v>
      </c>
      <c r="BE986" s="46">
        <v>0</v>
      </c>
      <c r="BF986" s="46">
        <f>986</f>
        <v>986</v>
      </c>
      <c r="BH986" s="46">
        <f>I986*AO986</f>
        <v>0</v>
      </c>
      <c r="BI986" s="46">
        <f>I986*AP986</f>
        <v>0</v>
      </c>
      <c r="BJ986" s="46">
        <f>I986*J986</f>
        <v>0</v>
      </c>
      <c r="BK986" s="46"/>
      <c r="BL986" s="46">
        <v>96</v>
      </c>
    </row>
    <row r="987" spans="1:15" ht="15" customHeight="1">
      <c r="A987" s="10"/>
      <c r="D987" s="32" t="s">
        <v>965</v>
      </c>
      <c r="G987" s="32" t="s">
        <v>1134</v>
      </c>
      <c r="I987" s="58">
        <v>10</v>
      </c>
      <c r="O987" s="30"/>
    </row>
    <row r="988" spans="1:47" ht="15" customHeight="1">
      <c r="A988" s="3" t="s">
        <v>1163</v>
      </c>
      <c r="B988" s="9" t="s">
        <v>1471</v>
      </c>
      <c r="C988" s="9" t="s">
        <v>583</v>
      </c>
      <c r="D988" s="64" t="s">
        <v>856</v>
      </c>
      <c r="E988" s="64"/>
      <c r="F988" s="64"/>
      <c r="G988" s="64"/>
      <c r="H988" s="41" t="s">
        <v>1537</v>
      </c>
      <c r="I988" s="41" t="s">
        <v>1537</v>
      </c>
      <c r="J988" s="41" t="s">
        <v>1537</v>
      </c>
      <c r="K988" s="50">
        <f>SUM(K989:K991)</f>
        <v>0</v>
      </c>
      <c r="L988" s="50">
        <f>SUM(L989:L991)</f>
        <v>0</v>
      </c>
      <c r="M988" s="50">
        <f>SUM(M989:M991)</f>
        <v>0</v>
      </c>
      <c r="N988" s="1" t="s">
        <v>1163</v>
      </c>
      <c r="O988" s="45" t="s">
        <v>1163</v>
      </c>
      <c r="AI988" s="1" t="s">
        <v>1471</v>
      </c>
      <c r="AS988" s="50">
        <f>SUM(AJ989:AJ991)</f>
        <v>0</v>
      </c>
      <c r="AT988" s="50">
        <f>SUM(AK989:AK991)</f>
        <v>0</v>
      </c>
      <c r="AU988" s="50">
        <f>SUM(AL989:AL991)</f>
        <v>0</v>
      </c>
    </row>
    <row r="989" spans="1:64" ht="15" customHeight="1">
      <c r="A989" s="52" t="s">
        <v>279</v>
      </c>
      <c r="B989" s="43" t="s">
        <v>1471</v>
      </c>
      <c r="C989" s="43" t="s">
        <v>417</v>
      </c>
      <c r="D989" s="61" t="s">
        <v>781</v>
      </c>
      <c r="E989" s="61"/>
      <c r="F989" s="61"/>
      <c r="G989" s="61"/>
      <c r="H989" s="43" t="s">
        <v>392</v>
      </c>
      <c r="I989" s="46">
        <v>3</v>
      </c>
      <c r="J989" s="46">
        <v>0</v>
      </c>
      <c r="K989" s="46">
        <f>I989*AO989</f>
        <v>0</v>
      </c>
      <c r="L989" s="46">
        <f>I989*AP989</f>
        <v>0</v>
      </c>
      <c r="M989" s="46">
        <f>I989*J989</f>
        <v>0</v>
      </c>
      <c r="N989" s="46">
        <v>0.045</v>
      </c>
      <c r="O989" s="6" t="s">
        <v>1149</v>
      </c>
      <c r="Z989" s="46">
        <f>IF(AQ989="5",BJ989,0)</f>
        <v>0</v>
      </c>
      <c r="AB989" s="46">
        <f>IF(AQ989="1",BH989,0)</f>
        <v>0</v>
      </c>
      <c r="AC989" s="46">
        <f>IF(AQ989="1",BI989,0)</f>
        <v>0</v>
      </c>
      <c r="AD989" s="46">
        <f>IF(AQ989="7",BH989,0)</f>
        <v>0</v>
      </c>
      <c r="AE989" s="46">
        <f>IF(AQ989="7",BI989,0)</f>
        <v>0</v>
      </c>
      <c r="AF989" s="46">
        <f>IF(AQ989="2",BH989,0)</f>
        <v>0</v>
      </c>
      <c r="AG989" s="46">
        <f>IF(AQ989="2",BI989,0)</f>
        <v>0</v>
      </c>
      <c r="AH989" s="46">
        <f>IF(AQ989="0",BJ989,0)</f>
        <v>0</v>
      </c>
      <c r="AI989" s="1" t="s">
        <v>1471</v>
      </c>
      <c r="AJ989" s="46">
        <f>IF(AN989=0,M989,0)</f>
        <v>0</v>
      </c>
      <c r="AK989" s="46">
        <f>IF(AN989=15,M989,0)</f>
        <v>0</v>
      </c>
      <c r="AL989" s="46">
        <f>IF(AN989=21,M989,0)</f>
        <v>0</v>
      </c>
      <c r="AN989" s="46">
        <v>21</v>
      </c>
      <c r="AO989" s="46">
        <f>J989*1</f>
        <v>0</v>
      </c>
      <c r="AP989" s="46">
        <f>J989*(1-1)</f>
        <v>0</v>
      </c>
      <c r="AQ989" s="42" t="s">
        <v>1648</v>
      </c>
      <c r="AV989" s="46">
        <f>AW989+AX989</f>
        <v>0</v>
      </c>
      <c r="AW989" s="46">
        <f>I989*AO989</f>
        <v>0</v>
      </c>
      <c r="AX989" s="46">
        <f>I989*AP989</f>
        <v>0</v>
      </c>
      <c r="AY989" s="42" t="s">
        <v>528</v>
      </c>
      <c r="AZ989" s="42" t="s">
        <v>994</v>
      </c>
      <c r="BA989" s="1" t="s">
        <v>630</v>
      </c>
      <c r="BC989" s="46">
        <f>AW989+AX989</f>
        <v>0</v>
      </c>
      <c r="BD989" s="46">
        <f>J989/(100-BE989)*100</f>
        <v>0</v>
      </c>
      <c r="BE989" s="46">
        <v>0</v>
      </c>
      <c r="BF989" s="46">
        <f>989</f>
        <v>989</v>
      </c>
      <c r="BH989" s="46">
        <f>I989*AO989</f>
        <v>0</v>
      </c>
      <c r="BI989" s="46">
        <f>I989*AP989</f>
        <v>0</v>
      </c>
      <c r="BJ989" s="46">
        <f>I989*J989</f>
        <v>0</v>
      </c>
      <c r="BK989" s="46"/>
      <c r="BL989" s="46"/>
    </row>
    <row r="990" spans="1:15" ht="15" customHeight="1">
      <c r="A990" s="10"/>
      <c r="D990" s="32" t="s">
        <v>1430</v>
      </c>
      <c r="G990" s="32" t="s">
        <v>1163</v>
      </c>
      <c r="I990" s="58">
        <v>3.0000000000000004</v>
      </c>
      <c r="O990" s="30"/>
    </row>
    <row r="991" spans="1:64" ht="15" customHeight="1">
      <c r="A991" s="52" t="s">
        <v>983</v>
      </c>
      <c r="B991" s="43" t="s">
        <v>1471</v>
      </c>
      <c r="C991" s="43" t="s">
        <v>461</v>
      </c>
      <c r="D991" s="61" t="s">
        <v>803</v>
      </c>
      <c r="E991" s="61"/>
      <c r="F991" s="61"/>
      <c r="G991" s="61"/>
      <c r="H991" s="43" t="s">
        <v>749</v>
      </c>
      <c r="I991" s="46">
        <v>5509.19</v>
      </c>
      <c r="J991" s="46">
        <v>0</v>
      </c>
      <c r="K991" s="46">
        <f>I991*AO991</f>
        <v>0</v>
      </c>
      <c r="L991" s="46">
        <f>I991*AP991</f>
        <v>0</v>
      </c>
      <c r="M991" s="46">
        <f>I991*J991</f>
        <v>0</v>
      </c>
      <c r="N991" s="46">
        <v>0</v>
      </c>
      <c r="O991" s="6" t="s">
        <v>1149</v>
      </c>
      <c r="Z991" s="46">
        <f>IF(AQ991="5",BJ991,0)</f>
        <v>0</v>
      </c>
      <c r="AB991" s="46">
        <f>IF(AQ991="1",BH991,0)</f>
        <v>0</v>
      </c>
      <c r="AC991" s="46">
        <f>IF(AQ991="1",BI991,0)</f>
        <v>0</v>
      </c>
      <c r="AD991" s="46">
        <f>IF(AQ991="7",BH991,0)</f>
        <v>0</v>
      </c>
      <c r="AE991" s="46">
        <f>IF(AQ991="7",BI991,0)</f>
        <v>0</v>
      </c>
      <c r="AF991" s="46">
        <f>IF(AQ991="2",BH991,0)</f>
        <v>0</v>
      </c>
      <c r="AG991" s="46">
        <f>IF(AQ991="2",BI991,0)</f>
        <v>0</v>
      </c>
      <c r="AH991" s="46">
        <f>IF(AQ991="0",BJ991,0)</f>
        <v>0</v>
      </c>
      <c r="AI991" s="1" t="s">
        <v>1471</v>
      </c>
      <c r="AJ991" s="46">
        <f>IF(AN991=0,M991,0)</f>
        <v>0</v>
      </c>
      <c r="AK991" s="46">
        <f>IF(AN991=15,M991,0)</f>
        <v>0</v>
      </c>
      <c r="AL991" s="46">
        <f>IF(AN991=21,M991,0)</f>
        <v>0</v>
      </c>
      <c r="AN991" s="46">
        <v>21</v>
      </c>
      <c r="AO991" s="46">
        <f>J991*0</f>
        <v>0</v>
      </c>
      <c r="AP991" s="46">
        <f>J991*(1-0)</f>
        <v>0</v>
      </c>
      <c r="AQ991" s="42" t="s">
        <v>880</v>
      </c>
      <c r="AV991" s="46">
        <f>AW991+AX991</f>
        <v>0</v>
      </c>
      <c r="AW991" s="46">
        <f>I991*AO991</f>
        <v>0</v>
      </c>
      <c r="AX991" s="46">
        <f>I991*AP991</f>
        <v>0</v>
      </c>
      <c r="AY991" s="42" t="s">
        <v>528</v>
      </c>
      <c r="AZ991" s="42" t="s">
        <v>994</v>
      </c>
      <c r="BA991" s="1" t="s">
        <v>630</v>
      </c>
      <c r="BC991" s="46">
        <f>AW991+AX991</f>
        <v>0</v>
      </c>
      <c r="BD991" s="46">
        <f>J991/(100-BE991)*100</f>
        <v>0</v>
      </c>
      <c r="BE991" s="46">
        <v>0</v>
      </c>
      <c r="BF991" s="46">
        <f>991</f>
        <v>991</v>
      </c>
      <c r="BH991" s="46">
        <f>I991*AO991</f>
        <v>0</v>
      </c>
      <c r="BI991" s="46">
        <f>I991*AP991</f>
        <v>0</v>
      </c>
      <c r="BJ991" s="46">
        <f>I991*J991</f>
        <v>0</v>
      </c>
      <c r="BK991" s="46"/>
      <c r="BL991" s="46"/>
    </row>
    <row r="992" spans="1:47" ht="15" customHeight="1">
      <c r="A992" s="3" t="s">
        <v>1163</v>
      </c>
      <c r="B992" s="9" t="s">
        <v>1471</v>
      </c>
      <c r="C992" s="9" t="s">
        <v>980</v>
      </c>
      <c r="D992" s="64" t="s">
        <v>1045</v>
      </c>
      <c r="E992" s="64"/>
      <c r="F992" s="64"/>
      <c r="G992" s="64"/>
      <c r="H992" s="41" t="s">
        <v>1537</v>
      </c>
      <c r="I992" s="41" t="s">
        <v>1537</v>
      </c>
      <c r="J992" s="41" t="s">
        <v>1537</v>
      </c>
      <c r="K992" s="50">
        <f>SUM(K993:K993)</f>
        <v>0</v>
      </c>
      <c r="L992" s="50">
        <f>SUM(L993:L993)</f>
        <v>0</v>
      </c>
      <c r="M992" s="50">
        <f>SUM(M993:M993)</f>
        <v>0</v>
      </c>
      <c r="N992" s="1" t="s">
        <v>1163</v>
      </c>
      <c r="O992" s="45" t="s">
        <v>1163</v>
      </c>
      <c r="AI992" s="1" t="s">
        <v>1471</v>
      </c>
      <c r="AS992" s="50">
        <f>SUM(AJ993:AJ993)</f>
        <v>0</v>
      </c>
      <c r="AT992" s="50">
        <f>SUM(AK993:AK993)</f>
        <v>0</v>
      </c>
      <c r="AU992" s="50">
        <f>SUM(AL993:AL993)</f>
        <v>0</v>
      </c>
    </row>
    <row r="993" spans="1:64" ht="15" customHeight="1">
      <c r="A993" s="52" t="s">
        <v>1854</v>
      </c>
      <c r="B993" s="43" t="s">
        <v>1471</v>
      </c>
      <c r="C993" s="43" t="s">
        <v>254</v>
      </c>
      <c r="D993" s="61" t="s">
        <v>1452</v>
      </c>
      <c r="E993" s="61"/>
      <c r="F993" s="61"/>
      <c r="G993" s="61"/>
      <c r="H993" s="43" t="s">
        <v>1604</v>
      </c>
      <c r="I993" s="46">
        <v>311.5</v>
      </c>
      <c r="J993" s="46">
        <v>0</v>
      </c>
      <c r="K993" s="46">
        <f>I993*AO993</f>
        <v>0</v>
      </c>
      <c r="L993" s="46">
        <f>I993*AP993</f>
        <v>0</v>
      </c>
      <c r="M993" s="46">
        <f>I993*J993</f>
        <v>0</v>
      </c>
      <c r="N993" s="46">
        <v>0</v>
      </c>
      <c r="O993" s="6" t="s">
        <v>1149</v>
      </c>
      <c r="Z993" s="46">
        <f>IF(AQ993="5",BJ993,0)</f>
        <v>0</v>
      </c>
      <c r="AB993" s="46">
        <f>IF(AQ993="1",BH993,0)</f>
        <v>0</v>
      </c>
      <c r="AC993" s="46">
        <f>IF(AQ993="1",BI993,0)</f>
        <v>0</v>
      </c>
      <c r="AD993" s="46">
        <f>IF(AQ993="7",BH993,0)</f>
        <v>0</v>
      </c>
      <c r="AE993" s="46">
        <f>IF(AQ993="7",BI993,0)</f>
        <v>0</v>
      </c>
      <c r="AF993" s="46">
        <f>IF(AQ993="2",BH993,0)</f>
        <v>0</v>
      </c>
      <c r="AG993" s="46">
        <f>IF(AQ993="2",BI993,0)</f>
        <v>0</v>
      </c>
      <c r="AH993" s="46">
        <f>IF(AQ993="0",BJ993,0)</f>
        <v>0</v>
      </c>
      <c r="AI993" s="1" t="s">
        <v>1471</v>
      </c>
      <c r="AJ993" s="46">
        <f>IF(AN993=0,M993,0)</f>
        <v>0</v>
      </c>
      <c r="AK993" s="46">
        <f>IF(AN993=15,M993,0)</f>
        <v>0</v>
      </c>
      <c r="AL993" s="46">
        <f>IF(AN993=21,M993,0)</f>
        <v>0</v>
      </c>
      <c r="AN993" s="46">
        <v>21</v>
      </c>
      <c r="AO993" s="46">
        <f>J993*0</f>
        <v>0</v>
      </c>
      <c r="AP993" s="46">
        <f>J993*(1-0)</f>
        <v>0</v>
      </c>
      <c r="AQ993" s="42" t="s">
        <v>1157</v>
      </c>
      <c r="AV993" s="46">
        <f>AW993+AX993</f>
        <v>0</v>
      </c>
      <c r="AW993" s="46">
        <f>I993*AO993</f>
        <v>0</v>
      </c>
      <c r="AX993" s="46">
        <f>I993*AP993</f>
        <v>0</v>
      </c>
      <c r="AY993" s="42" t="s">
        <v>1454</v>
      </c>
      <c r="AZ993" s="42" t="s">
        <v>994</v>
      </c>
      <c r="BA993" s="1" t="s">
        <v>630</v>
      </c>
      <c r="BC993" s="46">
        <f>AW993+AX993</f>
        <v>0</v>
      </c>
      <c r="BD993" s="46">
        <f>J993/(100-BE993)*100</f>
        <v>0</v>
      </c>
      <c r="BE993" s="46">
        <v>0</v>
      </c>
      <c r="BF993" s="46">
        <f>993</f>
        <v>993</v>
      </c>
      <c r="BH993" s="46">
        <f>I993*AO993</f>
        <v>0</v>
      </c>
      <c r="BI993" s="46">
        <f>I993*AP993</f>
        <v>0</v>
      </c>
      <c r="BJ993" s="46">
        <f>I993*J993</f>
        <v>0</v>
      </c>
      <c r="BK993" s="46"/>
      <c r="BL993" s="46"/>
    </row>
    <row r="994" spans="1:15" ht="15" customHeight="1">
      <c r="A994" s="10"/>
      <c r="D994" s="32" t="s">
        <v>1448</v>
      </c>
      <c r="G994" s="32" t="s">
        <v>1163</v>
      </c>
      <c r="I994" s="58">
        <v>311.5</v>
      </c>
      <c r="O994" s="30"/>
    </row>
    <row r="995" spans="1:47" ht="15" customHeight="1">
      <c r="A995" s="3" t="s">
        <v>1163</v>
      </c>
      <c r="B995" s="9" t="s">
        <v>1471</v>
      </c>
      <c r="C995" s="9" t="s">
        <v>535</v>
      </c>
      <c r="D995" s="64" t="s">
        <v>700</v>
      </c>
      <c r="E995" s="64"/>
      <c r="F995" s="64"/>
      <c r="G995" s="64"/>
      <c r="H995" s="41" t="s">
        <v>1537</v>
      </c>
      <c r="I995" s="41" t="s">
        <v>1537</v>
      </c>
      <c r="J995" s="41" t="s">
        <v>1537</v>
      </c>
      <c r="K995" s="50">
        <f>SUM(K996:K1004)</f>
        <v>0</v>
      </c>
      <c r="L995" s="50">
        <f>SUM(L996:L1004)</f>
        <v>0</v>
      </c>
      <c r="M995" s="50">
        <f>SUM(M996:M1004)</f>
        <v>0</v>
      </c>
      <c r="N995" s="1" t="s">
        <v>1163</v>
      </c>
      <c r="O995" s="45" t="s">
        <v>1163</v>
      </c>
      <c r="AI995" s="1" t="s">
        <v>1471</v>
      </c>
      <c r="AS995" s="50">
        <f>SUM(AJ996:AJ1004)</f>
        <v>0</v>
      </c>
      <c r="AT995" s="50">
        <f>SUM(AK996:AK1004)</f>
        <v>0</v>
      </c>
      <c r="AU995" s="50">
        <f>SUM(AL996:AL1004)</f>
        <v>0</v>
      </c>
    </row>
    <row r="996" spans="1:64" ht="15" customHeight="1">
      <c r="A996" s="52" t="s">
        <v>750</v>
      </c>
      <c r="B996" s="43" t="s">
        <v>1471</v>
      </c>
      <c r="C996" s="43" t="s">
        <v>1102</v>
      </c>
      <c r="D996" s="61" t="s">
        <v>712</v>
      </c>
      <c r="E996" s="61"/>
      <c r="F996" s="61"/>
      <c r="G996" s="61"/>
      <c r="H996" s="43" t="s">
        <v>749</v>
      </c>
      <c r="I996" s="46">
        <v>155564.37</v>
      </c>
      <c r="J996" s="46">
        <v>0</v>
      </c>
      <c r="K996" s="46">
        <f>I996*AO996</f>
        <v>0</v>
      </c>
      <c r="L996" s="46">
        <f>I996*AP996</f>
        <v>0</v>
      </c>
      <c r="M996" s="46">
        <f>I996*J996</f>
        <v>0</v>
      </c>
      <c r="N996" s="46">
        <v>0</v>
      </c>
      <c r="O996" s="6" t="s">
        <v>1149</v>
      </c>
      <c r="Z996" s="46">
        <f>IF(AQ996="5",BJ996,0)</f>
        <v>0</v>
      </c>
      <c r="AB996" s="46">
        <f>IF(AQ996="1",BH996,0)</f>
        <v>0</v>
      </c>
      <c r="AC996" s="46">
        <f>IF(AQ996="1",BI996,0)</f>
        <v>0</v>
      </c>
      <c r="AD996" s="46">
        <f>IF(AQ996="7",BH996,0)</f>
        <v>0</v>
      </c>
      <c r="AE996" s="46">
        <f>IF(AQ996="7",BI996,0)</f>
        <v>0</v>
      </c>
      <c r="AF996" s="46">
        <f>IF(AQ996="2",BH996,0)</f>
        <v>0</v>
      </c>
      <c r="AG996" s="46">
        <f>IF(AQ996="2",BI996,0)</f>
        <v>0</v>
      </c>
      <c r="AH996" s="46">
        <f>IF(AQ996="0",BJ996,0)</f>
        <v>0</v>
      </c>
      <c r="AI996" s="1" t="s">
        <v>1471</v>
      </c>
      <c r="AJ996" s="46">
        <f>IF(AN996=0,M996,0)</f>
        <v>0</v>
      </c>
      <c r="AK996" s="46">
        <f>IF(AN996=15,M996,0)</f>
        <v>0</v>
      </c>
      <c r="AL996" s="46">
        <f>IF(AN996=21,M996,0)</f>
        <v>0</v>
      </c>
      <c r="AN996" s="46">
        <v>21</v>
      </c>
      <c r="AO996" s="46">
        <f>J996*0</f>
        <v>0</v>
      </c>
      <c r="AP996" s="46">
        <f>J996*(1-0)</f>
        <v>0</v>
      </c>
      <c r="AQ996" s="42" t="s">
        <v>880</v>
      </c>
      <c r="AV996" s="46">
        <f>AW996+AX996</f>
        <v>0</v>
      </c>
      <c r="AW996" s="46">
        <f>I996*AO996</f>
        <v>0</v>
      </c>
      <c r="AX996" s="46">
        <f>I996*AP996</f>
        <v>0</v>
      </c>
      <c r="AY996" s="42" t="s">
        <v>670</v>
      </c>
      <c r="AZ996" s="42" t="s">
        <v>994</v>
      </c>
      <c r="BA996" s="1" t="s">
        <v>630</v>
      </c>
      <c r="BC996" s="46">
        <f>AW996+AX996</f>
        <v>0</v>
      </c>
      <c r="BD996" s="46">
        <f>J996/(100-BE996)*100</f>
        <v>0</v>
      </c>
      <c r="BE996" s="46">
        <v>0</v>
      </c>
      <c r="BF996" s="46">
        <f>996</f>
        <v>996</v>
      </c>
      <c r="BH996" s="46">
        <f>I996*AO996</f>
        <v>0</v>
      </c>
      <c r="BI996" s="46">
        <f>I996*AP996</f>
        <v>0</v>
      </c>
      <c r="BJ996" s="46">
        <f>I996*J996</f>
        <v>0</v>
      </c>
      <c r="BK996" s="46"/>
      <c r="BL996" s="46"/>
    </row>
    <row r="997" spans="1:15" ht="15" customHeight="1">
      <c r="A997" s="10"/>
      <c r="D997" s="32" t="s">
        <v>503</v>
      </c>
      <c r="G997" s="32" t="s">
        <v>1163</v>
      </c>
      <c r="I997" s="58">
        <v>155564.37000000002</v>
      </c>
      <c r="O997" s="30"/>
    </row>
    <row r="998" spans="1:64" ht="15" customHeight="1">
      <c r="A998" s="52" t="s">
        <v>1004</v>
      </c>
      <c r="B998" s="43" t="s">
        <v>1471</v>
      </c>
      <c r="C998" s="43" t="s">
        <v>1155</v>
      </c>
      <c r="D998" s="61" t="s">
        <v>689</v>
      </c>
      <c r="E998" s="61"/>
      <c r="F998" s="61"/>
      <c r="G998" s="61"/>
      <c r="H998" s="43" t="s">
        <v>749</v>
      </c>
      <c r="I998" s="46">
        <v>296.34</v>
      </c>
      <c r="J998" s="46">
        <v>0</v>
      </c>
      <c r="K998" s="46">
        <f>I998*AO998</f>
        <v>0</v>
      </c>
      <c r="L998" s="46">
        <f>I998*AP998</f>
        <v>0</v>
      </c>
      <c r="M998" s="46">
        <f>I998*J998</f>
        <v>0</v>
      </c>
      <c r="N998" s="46">
        <v>0</v>
      </c>
      <c r="O998" s="6" t="s">
        <v>1149</v>
      </c>
      <c r="Z998" s="46">
        <f>IF(AQ998="5",BJ998,0)</f>
        <v>0</v>
      </c>
      <c r="AB998" s="46">
        <f>IF(AQ998="1",BH998,0)</f>
        <v>0</v>
      </c>
      <c r="AC998" s="46">
        <f>IF(AQ998="1",BI998,0)</f>
        <v>0</v>
      </c>
      <c r="AD998" s="46">
        <f>IF(AQ998="7",BH998,0)</f>
        <v>0</v>
      </c>
      <c r="AE998" s="46">
        <f>IF(AQ998="7",BI998,0)</f>
        <v>0</v>
      </c>
      <c r="AF998" s="46">
        <f>IF(AQ998="2",BH998,0)</f>
        <v>0</v>
      </c>
      <c r="AG998" s="46">
        <f>IF(AQ998="2",BI998,0)</f>
        <v>0</v>
      </c>
      <c r="AH998" s="46">
        <f>IF(AQ998="0",BJ998,0)</f>
        <v>0</v>
      </c>
      <c r="AI998" s="1" t="s">
        <v>1471</v>
      </c>
      <c r="AJ998" s="46">
        <f>IF(AN998=0,M998,0)</f>
        <v>0</v>
      </c>
      <c r="AK998" s="46">
        <f>IF(AN998=15,M998,0)</f>
        <v>0</v>
      </c>
      <c r="AL998" s="46">
        <f>IF(AN998=21,M998,0)</f>
        <v>0</v>
      </c>
      <c r="AN998" s="46">
        <v>21</v>
      </c>
      <c r="AO998" s="46">
        <f>J998*0</f>
        <v>0</v>
      </c>
      <c r="AP998" s="46">
        <f>J998*(1-0)</f>
        <v>0</v>
      </c>
      <c r="AQ998" s="42" t="s">
        <v>880</v>
      </c>
      <c r="AV998" s="46">
        <f>AW998+AX998</f>
        <v>0</v>
      </c>
      <c r="AW998" s="46">
        <f>I998*AO998</f>
        <v>0</v>
      </c>
      <c r="AX998" s="46">
        <f>I998*AP998</f>
        <v>0</v>
      </c>
      <c r="AY998" s="42" t="s">
        <v>670</v>
      </c>
      <c r="AZ998" s="42" t="s">
        <v>994</v>
      </c>
      <c r="BA998" s="1" t="s">
        <v>630</v>
      </c>
      <c r="BC998" s="46">
        <f>AW998+AX998</f>
        <v>0</v>
      </c>
      <c r="BD998" s="46">
        <f>J998/(100-BE998)*100</f>
        <v>0</v>
      </c>
      <c r="BE998" s="46">
        <v>0</v>
      </c>
      <c r="BF998" s="46">
        <f>998</f>
        <v>998</v>
      </c>
      <c r="BH998" s="46">
        <f>I998*AO998</f>
        <v>0</v>
      </c>
      <c r="BI998" s="46">
        <f>I998*AP998</f>
        <v>0</v>
      </c>
      <c r="BJ998" s="46">
        <f>I998*J998</f>
        <v>0</v>
      </c>
      <c r="BK998" s="46"/>
      <c r="BL998" s="46"/>
    </row>
    <row r="999" spans="1:64" ht="15" customHeight="1">
      <c r="A999" s="52" t="s">
        <v>326</v>
      </c>
      <c r="B999" s="43" t="s">
        <v>1471</v>
      </c>
      <c r="C999" s="43" t="s">
        <v>1155</v>
      </c>
      <c r="D999" s="61" t="s">
        <v>689</v>
      </c>
      <c r="E999" s="61"/>
      <c r="F999" s="61"/>
      <c r="G999" s="61"/>
      <c r="H999" s="43" t="s">
        <v>749</v>
      </c>
      <c r="I999" s="46">
        <v>985</v>
      </c>
      <c r="J999" s="46">
        <v>0</v>
      </c>
      <c r="K999" s="46">
        <f>I999*AO999</f>
        <v>0</v>
      </c>
      <c r="L999" s="46">
        <f>I999*AP999</f>
        <v>0</v>
      </c>
      <c r="M999" s="46">
        <f>I999*J999</f>
        <v>0</v>
      </c>
      <c r="N999" s="46">
        <v>0</v>
      </c>
      <c r="O999" s="6" t="s">
        <v>1149</v>
      </c>
      <c r="Z999" s="46">
        <f>IF(AQ999="5",BJ999,0)</f>
        <v>0</v>
      </c>
      <c r="AB999" s="46">
        <f>IF(AQ999="1",BH999,0)</f>
        <v>0</v>
      </c>
      <c r="AC999" s="46">
        <f>IF(AQ999="1",BI999,0)</f>
        <v>0</v>
      </c>
      <c r="AD999" s="46">
        <f>IF(AQ999="7",BH999,0)</f>
        <v>0</v>
      </c>
      <c r="AE999" s="46">
        <f>IF(AQ999="7",BI999,0)</f>
        <v>0</v>
      </c>
      <c r="AF999" s="46">
        <f>IF(AQ999="2",BH999,0)</f>
        <v>0</v>
      </c>
      <c r="AG999" s="46">
        <f>IF(AQ999="2",BI999,0)</f>
        <v>0</v>
      </c>
      <c r="AH999" s="46">
        <f>IF(AQ999="0",BJ999,0)</f>
        <v>0</v>
      </c>
      <c r="AI999" s="1" t="s">
        <v>1471</v>
      </c>
      <c r="AJ999" s="46">
        <f>IF(AN999=0,M999,0)</f>
        <v>0</v>
      </c>
      <c r="AK999" s="46">
        <f>IF(AN999=15,M999,0)</f>
        <v>0</v>
      </c>
      <c r="AL999" s="46">
        <f>IF(AN999=21,M999,0)</f>
        <v>0</v>
      </c>
      <c r="AN999" s="46">
        <v>21</v>
      </c>
      <c r="AO999" s="46">
        <f>J999*0</f>
        <v>0</v>
      </c>
      <c r="AP999" s="46">
        <f>J999*(1-0)</f>
        <v>0</v>
      </c>
      <c r="AQ999" s="42" t="s">
        <v>880</v>
      </c>
      <c r="AV999" s="46">
        <f>AW999+AX999</f>
        <v>0</v>
      </c>
      <c r="AW999" s="46">
        <f>I999*AO999</f>
        <v>0</v>
      </c>
      <c r="AX999" s="46">
        <f>I999*AP999</f>
        <v>0</v>
      </c>
      <c r="AY999" s="42" t="s">
        <v>670</v>
      </c>
      <c r="AZ999" s="42" t="s">
        <v>994</v>
      </c>
      <c r="BA999" s="1" t="s">
        <v>630</v>
      </c>
      <c r="BC999" s="46">
        <f>AW999+AX999</f>
        <v>0</v>
      </c>
      <c r="BD999" s="46">
        <f>J999/(100-BE999)*100</f>
        <v>0</v>
      </c>
      <c r="BE999" s="46">
        <v>0</v>
      </c>
      <c r="BF999" s="46">
        <f>999</f>
        <v>999</v>
      </c>
      <c r="BH999" s="46">
        <f>I999*AO999</f>
        <v>0</v>
      </c>
      <c r="BI999" s="46">
        <f>I999*AP999</f>
        <v>0</v>
      </c>
      <c r="BJ999" s="46">
        <f>I999*J999</f>
        <v>0</v>
      </c>
      <c r="BK999" s="46"/>
      <c r="BL999" s="46"/>
    </row>
    <row r="1000" spans="1:15" ht="15" customHeight="1">
      <c r="A1000" s="10"/>
      <c r="D1000" s="32" t="s">
        <v>573</v>
      </c>
      <c r="G1000" s="32" t="s">
        <v>1163</v>
      </c>
      <c r="I1000" s="58">
        <v>985.0000000000001</v>
      </c>
      <c r="O1000" s="30"/>
    </row>
    <row r="1001" spans="1:64" ht="15" customHeight="1">
      <c r="A1001" s="52" t="s">
        <v>1849</v>
      </c>
      <c r="B1001" s="43" t="s">
        <v>1471</v>
      </c>
      <c r="C1001" s="43" t="s">
        <v>771</v>
      </c>
      <c r="D1001" s="61" t="s">
        <v>137</v>
      </c>
      <c r="E1001" s="61"/>
      <c r="F1001" s="61"/>
      <c r="G1001" s="61"/>
      <c r="H1001" s="43" t="s">
        <v>749</v>
      </c>
      <c r="I1001" s="46">
        <v>3360.83</v>
      </c>
      <c r="J1001" s="46">
        <v>0</v>
      </c>
      <c r="K1001" s="46">
        <f>I1001*AO1001</f>
        <v>0</v>
      </c>
      <c r="L1001" s="46">
        <f>I1001*AP1001</f>
        <v>0</v>
      </c>
      <c r="M1001" s="46">
        <f>I1001*J1001</f>
        <v>0</v>
      </c>
      <c r="N1001" s="46">
        <v>0</v>
      </c>
      <c r="O1001" s="6" t="s">
        <v>1149</v>
      </c>
      <c r="Z1001" s="46">
        <f>IF(AQ1001="5",BJ1001,0)</f>
        <v>0</v>
      </c>
      <c r="AB1001" s="46">
        <f>IF(AQ1001="1",BH1001,0)</f>
        <v>0</v>
      </c>
      <c r="AC1001" s="46">
        <f>IF(AQ1001="1",BI1001,0)</f>
        <v>0</v>
      </c>
      <c r="AD1001" s="46">
        <f>IF(AQ1001="7",BH1001,0)</f>
        <v>0</v>
      </c>
      <c r="AE1001" s="46">
        <f>IF(AQ1001="7",BI1001,0)</f>
        <v>0</v>
      </c>
      <c r="AF1001" s="46">
        <f>IF(AQ1001="2",BH1001,0)</f>
        <v>0</v>
      </c>
      <c r="AG1001" s="46">
        <f>IF(AQ1001="2",BI1001,0)</f>
        <v>0</v>
      </c>
      <c r="AH1001" s="46">
        <f>IF(AQ1001="0",BJ1001,0)</f>
        <v>0</v>
      </c>
      <c r="AI1001" s="1" t="s">
        <v>1471</v>
      </c>
      <c r="AJ1001" s="46">
        <f>IF(AN1001=0,M1001,0)</f>
        <v>0</v>
      </c>
      <c r="AK1001" s="46">
        <f>IF(AN1001=15,M1001,0)</f>
        <v>0</v>
      </c>
      <c r="AL1001" s="46">
        <f>IF(AN1001=21,M1001,0)</f>
        <v>0</v>
      </c>
      <c r="AN1001" s="46">
        <v>21</v>
      </c>
      <c r="AO1001" s="46">
        <f>J1001*0</f>
        <v>0</v>
      </c>
      <c r="AP1001" s="46">
        <f>J1001*(1-0)</f>
        <v>0</v>
      </c>
      <c r="AQ1001" s="42" t="s">
        <v>880</v>
      </c>
      <c r="AV1001" s="46">
        <f>AW1001+AX1001</f>
        <v>0</v>
      </c>
      <c r="AW1001" s="46">
        <f>I1001*AO1001</f>
        <v>0</v>
      </c>
      <c r="AX1001" s="46">
        <f>I1001*AP1001</f>
        <v>0</v>
      </c>
      <c r="AY1001" s="42" t="s">
        <v>670</v>
      </c>
      <c r="AZ1001" s="42" t="s">
        <v>994</v>
      </c>
      <c r="BA1001" s="1" t="s">
        <v>630</v>
      </c>
      <c r="BC1001" s="46">
        <f>AW1001+AX1001</f>
        <v>0</v>
      </c>
      <c r="BD1001" s="46">
        <f>J1001/(100-BE1001)*100</f>
        <v>0</v>
      </c>
      <c r="BE1001" s="46">
        <v>0</v>
      </c>
      <c r="BF1001" s="46">
        <f>1001</f>
        <v>1001</v>
      </c>
      <c r="BH1001" s="46">
        <f>I1001*AO1001</f>
        <v>0</v>
      </c>
      <c r="BI1001" s="46">
        <f>I1001*AP1001</f>
        <v>0</v>
      </c>
      <c r="BJ1001" s="46">
        <f>I1001*J1001</f>
        <v>0</v>
      </c>
      <c r="BK1001" s="46"/>
      <c r="BL1001" s="46"/>
    </row>
    <row r="1002" spans="1:15" ht="15" customHeight="1">
      <c r="A1002" s="10"/>
      <c r="D1002" s="32" t="s">
        <v>1321</v>
      </c>
      <c r="G1002" s="32" t="s">
        <v>1163</v>
      </c>
      <c r="I1002" s="58">
        <v>3360.8300000000004</v>
      </c>
      <c r="O1002" s="30"/>
    </row>
    <row r="1003" spans="1:64" ht="15" customHeight="1">
      <c r="A1003" s="52" t="s">
        <v>1095</v>
      </c>
      <c r="B1003" s="43" t="s">
        <v>1471</v>
      </c>
      <c r="C1003" s="43" t="s">
        <v>325</v>
      </c>
      <c r="D1003" s="61" t="s">
        <v>72</v>
      </c>
      <c r="E1003" s="61"/>
      <c r="F1003" s="61"/>
      <c r="G1003" s="61"/>
      <c r="H1003" s="43" t="s">
        <v>749</v>
      </c>
      <c r="I1003" s="46">
        <v>628.08</v>
      </c>
      <c r="J1003" s="46">
        <v>0</v>
      </c>
      <c r="K1003" s="46">
        <f>I1003*AO1003</f>
        <v>0</v>
      </c>
      <c r="L1003" s="46">
        <f>I1003*AP1003</f>
        <v>0</v>
      </c>
      <c r="M1003" s="46">
        <f>I1003*J1003</f>
        <v>0</v>
      </c>
      <c r="N1003" s="46">
        <v>0</v>
      </c>
      <c r="O1003" s="6" t="s">
        <v>1149</v>
      </c>
      <c r="Z1003" s="46">
        <f>IF(AQ1003="5",BJ1003,0)</f>
        <v>0</v>
      </c>
      <c r="AB1003" s="46">
        <f>IF(AQ1003="1",BH1003,0)</f>
        <v>0</v>
      </c>
      <c r="AC1003" s="46">
        <f>IF(AQ1003="1",BI1003,0)</f>
        <v>0</v>
      </c>
      <c r="AD1003" s="46">
        <f>IF(AQ1003="7",BH1003,0)</f>
        <v>0</v>
      </c>
      <c r="AE1003" s="46">
        <f>IF(AQ1003="7",BI1003,0)</f>
        <v>0</v>
      </c>
      <c r="AF1003" s="46">
        <f>IF(AQ1003="2",BH1003,0)</f>
        <v>0</v>
      </c>
      <c r="AG1003" s="46">
        <f>IF(AQ1003="2",BI1003,0)</f>
        <v>0</v>
      </c>
      <c r="AH1003" s="46">
        <f>IF(AQ1003="0",BJ1003,0)</f>
        <v>0</v>
      </c>
      <c r="AI1003" s="1" t="s">
        <v>1471</v>
      </c>
      <c r="AJ1003" s="46">
        <f>IF(AN1003=0,M1003,0)</f>
        <v>0</v>
      </c>
      <c r="AK1003" s="46">
        <f>IF(AN1003=15,M1003,0)</f>
        <v>0</v>
      </c>
      <c r="AL1003" s="46">
        <f>IF(AN1003=21,M1003,0)</f>
        <v>0</v>
      </c>
      <c r="AN1003" s="46">
        <v>21</v>
      </c>
      <c r="AO1003" s="46">
        <f>J1003*0</f>
        <v>0</v>
      </c>
      <c r="AP1003" s="46">
        <f>J1003*(1-0)</f>
        <v>0</v>
      </c>
      <c r="AQ1003" s="42" t="s">
        <v>880</v>
      </c>
      <c r="AV1003" s="46">
        <f>AW1003+AX1003</f>
        <v>0</v>
      </c>
      <c r="AW1003" s="46">
        <f>I1003*AO1003</f>
        <v>0</v>
      </c>
      <c r="AX1003" s="46">
        <f>I1003*AP1003</f>
        <v>0</v>
      </c>
      <c r="AY1003" s="42" t="s">
        <v>670</v>
      </c>
      <c r="AZ1003" s="42" t="s">
        <v>994</v>
      </c>
      <c r="BA1003" s="1" t="s">
        <v>630</v>
      </c>
      <c r="BC1003" s="46">
        <f>AW1003+AX1003</f>
        <v>0</v>
      </c>
      <c r="BD1003" s="46">
        <f>J1003/(100-BE1003)*100</f>
        <v>0</v>
      </c>
      <c r="BE1003" s="46">
        <v>0</v>
      </c>
      <c r="BF1003" s="46">
        <f>1003</f>
        <v>1003</v>
      </c>
      <c r="BH1003" s="46">
        <f>I1003*AO1003</f>
        <v>0</v>
      </c>
      <c r="BI1003" s="46">
        <f>I1003*AP1003</f>
        <v>0</v>
      </c>
      <c r="BJ1003" s="46">
        <f>I1003*J1003</f>
        <v>0</v>
      </c>
      <c r="BK1003" s="46"/>
      <c r="BL1003" s="46"/>
    </row>
    <row r="1004" spans="1:64" ht="15" customHeight="1">
      <c r="A1004" s="52" t="s">
        <v>1341</v>
      </c>
      <c r="B1004" s="43" t="s">
        <v>1471</v>
      </c>
      <c r="C1004" s="43" t="s">
        <v>1102</v>
      </c>
      <c r="D1004" s="61" t="s">
        <v>712</v>
      </c>
      <c r="E1004" s="61"/>
      <c r="F1004" s="61"/>
      <c r="G1004" s="61"/>
      <c r="H1004" s="43" t="s">
        <v>749</v>
      </c>
      <c r="I1004" s="46">
        <v>62785.66</v>
      </c>
      <c r="J1004" s="46">
        <v>0</v>
      </c>
      <c r="K1004" s="46">
        <f>I1004*AO1004</f>
        <v>0</v>
      </c>
      <c r="L1004" s="46">
        <f>I1004*AP1004</f>
        <v>0</v>
      </c>
      <c r="M1004" s="46">
        <f>I1004*J1004</f>
        <v>0</v>
      </c>
      <c r="N1004" s="46">
        <v>0</v>
      </c>
      <c r="O1004" s="6" t="s">
        <v>1149</v>
      </c>
      <c r="Z1004" s="46">
        <f>IF(AQ1004="5",BJ1004,0)</f>
        <v>0</v>
      </c>
      <c r="AB1004" s="46">
        <f>IF(AQ1004="1",BH1004,0)</f>
        <v>0</v>
      </c>
      <c r="AC1004" s="46">
        <f>IF(AQ1004="1",BI1004,0)</f>
        <v>0</v>
      </c>
      <c r="AD1004" s="46">
        <f>IF(AQ1004="7",BH1004,0)</f>
        <v>0</v>
      </c>
      <c r="AE1004" s="46">
        <f>IF(AQ1004="7",BI1004,0)</f>
        <v>0</v>
      </c>
      <c r="AF1004" s="46">
        <f>IF(AQ1004="2",BH1004,0)</f>
        <v>0</v>
      </c>
      <c r="AG1004" s="46">
        <f>IF(AQ1004="2",BI1004,0)</f>
        <v>0</v>
      </c>
      <c r="AH1004" s="46">
        <f>IF(AQ1004="0",BJ1004,0)</f>
        <v>0</v>
      </c>
      <c r="AI1004" s="1" t="s">
        <v>1471</v>
      </c>
      <c r="AJ1004" s="46">
        <f>IF(AN1004=0,M1004,0)</f>
        <v>0</v>
      </c>
      <c r="AK1004" s="46">
        <f>IF(AN1004=15,M1004,0)</f>
        <v>0</v>
      </c>
      <c r="AL1004" s="46">
        <f>IF(AN1004=21,M1004,0)</f>
        <v>0</v>
      </c>
      <c r="AN1004" s="46">
        <v>21</v>
      </c>
      <c r="AO1004" s="46">
        <f>J1004*0</f>
        <v>0</v>
      </c>
      <c r="AP1004" s="46">
        <f>J1004*(1-0)</f>
        <v>0</v>
      </c>
      <c r="AQ1004" s="42" t="s">
        <v>880</v>
      </c>
      <c r="AV1004" s="46">
        <f>AW1004+AX1004</f>
        <v>0</v>
      </c>
      <c r="AW1004" s="46">
        <f>I1004*AO1004</f>
        <v>0</v>
      </c>
      <c r="AX1004" s="46">
        <f>I1004*AP1004</f>
        <v>0</v>
      </c>
      <c r="AY1004" s="42" t="s">
        <v>670</v>
      </c>
      <c r="AZ1004" s="42" t="s">
        <v>994</v>
      </c>
      <c r="BA1004" s="1" t="s">
        <v>630</v>
      </c>
      <c r="BC1004" s="46">
        <f>AW1004+AX1004</f>
        <v>0</v>
      </c>
      <c r="BD1004" s="46">
        <f>J1004/(100-BE1004)*100</f>
        <v>0</v>
      </c>
      <c r="BE1004" s="46">
        <v>0</v>
      </c>
      <c r="BF1004" s="46">
        <f>1004</f>
        <v>1004</v>
      </c>
      <c r="BH1004" s="46">
        <f>I1004*AO1004</f>
        <v>0</v>
      </c>
      <c r="BI1004" s="46">
        <f>I1004*AP1004</f>
        <v>0</v>
      </c>
      <c r="BJ1004" s="46">
        <f>I1004*J1004</f>
        <v>0</v>
      </c>
      <c r="BK1004" s="46"/>
      <c r="BL1004" s="46"/>
    </row>
    <row r="1005" spans="1:15" ht="15" customHeight="1">
      <c r="A1005" s="10"/>
      <c r="D1005" s="32" t="s">
        <v>418</v>
      </c>
      <c r="G1005" s="32" t="s">
        <v>1163</v>
      </c>
      <c r="I1005" s="58">
        <v>62785.66</v>
      </c>
      <c r="O1005" s="30"/>
    </row>
    <row r="1006" spans="1:47" ht="15" customHeight="1">
      <c r="A1006" s="3" t="s">
        <v>1163</v>
      </c>
      <c r="B1006" s="9" t="s">
        <v>1471</v>
      </c>
      <c r="C1006" s="9" t="s">
        <v>1163</v>
      </c>
      <c r="D1006" s="64" t="s">
        <v>119</v>
      </c>
      <c r="E1006" s="64"/>
      <c r="F1006" s="64"/>
      <c r="G1006" s="64"/>
      <c r="H1006" s="41" t="s">
        <v>1537</v>
      </c>
      <c r="I1006" s="41" t="s">
        <v>1537</v>
      </c>
      <c r="J1006" s="41" t="s">
        <v>1537</v>
      </c>
      <c r="K1006" s="50">
        <f>SUM(K1007:K1010)</f>
        <v>0</v>
      </c>
      <c r="L1006" s="50">
        <f>SUM(L1007:L1010)</f>
        <v>0</v>
      </c>
      <c r="M1006" s="50">
        <f>SUM(M1007:M1010)</f>
        <v>0</v>
      </c>
      <c r="N1006" s="1" t="s">
        <v>1163</v>
      </c>
      <c r="O1006" s="45" t="s">
        <v>1163</v>
      </c>
      <c r="AI1006" s="1" t="s">
        <v>1471</v>
      </c>
      <c r="AS1006" s="50">
        <f>SUM(AJ1007:AJ1010)</f>
        <v>0</v>
      </c>
      <c r="AT1006" s="50">
        <f>SUM(AK1007:AK1010)</f>
        <v>0</v>
      </c>
      <c r="AU1006" s="50">
        <f>SUM(AL1007:AL1010)</f>
        <v>0</v>
      </c>
    </row>
    <row r="1007" spans="1:64" ht="15" customHeight="1">
      <c r="A1007" s="52" t="s">
        <v>562</v>
      </c>
      <c r="B1007" s="43" t="s">
        <v>1471</v>
      </c>
      <c r="C1007" s="43" t="s">
        <v>476</v>
      </c>
      <c r="D1007" s="61" t="s">
        <v>186</v>
      </c>
      <c r="E1007" s="61"/>
      <c r="F1007" s="61"/>
      <c r="G1007" s="61"/>
      <c r="H1007" s="43" t="s">
        <v>1629</v>
      </c>
      <c r="I1007" s="46">
        <v>21</v>
      </c>
      <c r="J1007" s="46">
        <v>0</v>
      </c>
      <c r="K1007" s="46">
        <f>I1007*AO1007</f>
        <v>0</v>
      </c>
      <c r="L1007" s="46">
        <f>I1007*AP1007</f>
        <v>0</v>
      </c>
      <c r="M1007" s="46">
        <f>I1007*J1007</f>
        <v>0</v>
      </c>
      <c r="N1007" s="46">
        <v>0.216</v>
      </c>
      <c r="O1007" s="6" t="s">
        <v>1149</v>
      </c>
      <c r="Z1007" s="46">
        <f>IF(AQ1007="5",BJ1007,0)</f>
        <v>0</v>
      </c>
      <c r="AB1007" s="46">
        <f>IF(AQ1007="1",BH1007,0)</f>
        <v>0</v>
      </c>
      <c r="AC1007" s="46">
        <f>IF(AQ1007="1",BI1007,0)</f>
        <v>0</v>
      </c>
      <c r="AD1007" s="46">
        <f>IF(AQ1007="7",BH1007,0)</f>
        <v>0</v>
      </c>
      <c r="AE1007" s="46">
        <f>IF(AQ1007="7",BI1007,0)</f>
        <v>0</v>
      </c>
      <c r="AF1007" s="46">
        <f>IF(AQ1007="2",BH1007,0)</f>
        <v>0</v>
      </c>
      <c r="AG1007" s="46">
        <f>IF(AQ1007="2",BI1007,0)</f>
        <v>0</v>
      </c>
      <c r="AH1007" s="46">
        <f>IF(AQ1007="0",BJ1007,0)</f>
        <v>0</v>
      </c>
      <c r="AI1007" s="1" t="s">
        <v>1471</v>
      </c>
      <c r="AJ1007" s="46">
        <f>IF(AN1007=0,M1007,0)</f>
        <v>0</v>
      </c>
      <c r="AK1007" s="46">
        <f>IF(AN1007=15,M1007,0)</f>
        <v>0</v>
      </c>
      <c r="AL1007" s="46">
        <f>IF(AN1007=21,M1007,0)</f>
        <v>0</v>
      </c>
      <c r="AN1007" s="46">
        <v>21</v>
      </c>
      <c r="AO1007" s="46">
        <f>J1007*1</f>
        <v>0</v>
      </c>
      <c r="AP1007" s="46">
        <f>J1007*(1-1)</f>
        <v>0</v>
      </c>
      <c r="AQ1007" s="42" t="s">
        <v>871</v>
      </c>
      <c r="AV1007" s="46">
        <f>AW1007+AX1007</f>
        <v>0</v>
      </c>
      <c r="AW1007" s="46">
        <f>I1007*AO1007</f>
        <v>0</v>
      </c>
      <c r="AX1007" s="46">
        <f>I1007*AP1007</f>
        <v>0</v>
      </c>
      <c r="AY1007" s="42" t="s">
        <v>337</v>
      </c>
      <c r="AZ1007" s="42" t="s">
        <v>1451</v>
      </c>
      <c r="BA1007" s="1" t="s">
        <v>630</v>
      </c>
      <c r="BC1007" s="46">
        <f>AW1007+AX1007</f>
        <v>0</v>
      </c>
      <c r="BD1007" s="46">
        <f>J1007/(100-BE1007)*100</f>
        <v>0</v>
      </c>
      <c r="BE1007" s="46">
        <v>0</v>
      </c>
      <c r="BF1007" s="46">
        <f>1007</f>
        <v>1007</v>
      </c>
      <c r="BH1007" s="46">
        <f>I1007*AO1007</f>
        <v>0</v>
      </c>
      <c r="BI1007" s="46">
        <f>I1007*AP1007</f>
        <v>0</v>
      </c>
      <c r="BJ1007" s="46">
        <f>I1007*J1007</f>
        <v>0</v>
      </c>
      <c r="BK1007" s="46"/>
      <c r="BL1007" s="46"/>
    </row>
    <row r="1008" spans="1:15" ht="15" customHeight="1">
      <c r="A1008" s="10"/>
      <c r="D1008" s="32" t="s">
        <v>1184</v>
      </c>
      <c r="G1008" s="32" t="s">
        <v>954</v>
      </c>
      <c r="I1008" s="58">
        <v>21</v>
      </c>
      <c r="O1008" s="30"/>
    </row>
    <row r="1009" spans="1:15" ht="13.5" customHeight="1">
      <c r="A1009" s="10"/>
      <c r="C1009" s="36" t="s">
        <v>144</v>
      </c>
      <c r="D1009" s="65" t="s">
        <v>1449</v>
      </c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7"/>
    </row>
    <row r="1010" spans="1:64" ht="15" customHeight="1">
      <c r="A1010" s="52" t="s">
        <v>557</v>
      </c>
      <c r="B1010" s="43" t="s">
        <v>1471</v>
      </c>
      <c r="C1010" s="43" t="s">
        <v>1805</v>
      </c>
      <c r="D1010" s="61" t="s">
        <v>1103</v>
      </c>
      <c r="E1010" s="61"/>
      <c r="F1010" s="61"/>
      <c r="G1010" s="61"/>
      <c r="H1010" s="43" t="s">
        <v>392</v>
      </c>
      <c r="I1010" s="46">
        <v>2</v>
      </c>
      <c r="J1010" s="46">
        <v>0</v>
      </c>
      <c r="K1010" s="46">
        <f>I1010*AO1010</f>
        <v>0</v>
      </c>
      <c r="L1010" s="46">
        <f>I1010*AP1010</f>
        <v>0</v>
      </c>
      <c r="M1010" s="46">
        <f>I1010*J1010</f>
        <v>0</v>
      </c>
      <c r="N1010" s="46">
        <v>0.0569</v>
      </c>
      <c r="O1010" s="6" t="s">
        <v>1149</v>
      </c>
      <c r="Z1010" s="46">
        <f>IF(AQ1010="5",BJ1010,0)</f>
        <v>0</v>
      </c>
      <c r="AB1010" s="46">
        <f>IF(AQ1010="1",BH1010,0)</f>
        <v>0</v>
      </c>
      <c r="AC1010" s="46">
        <f>IF(AQ1010="1",BI1010,0)</f>
        <v>0</v>
      </c>
      <c r="AD1010" s="46">
        <f>IF(AQ1010="7",BH1010,0)</f>
        <v>0</v>
      </c>
      <c r="AE1010" s="46">
        <f>IF(AQ1010="7",BI1010,0)</f>
        <v>0</v>
      </c>
      <c r="AF1010" s="46">
        <f>IF(AQ1010="2",BH1010,0)</f>
        <v>0</v>
      </c>
      <c r="AG1010" s="46">
        <f>IF(AQ1010="2",BI1010,0)</f>
        <v>0</v>
      </c>
      <c r="AH1010" s="46">
        <f>IF(AQ1010="0",BJ1010,0)</f>
        <v>0</v>
      </c>
      <c r="AI1010" s="1" t="s">
        <v>1471</v>
      </c>
      <c r="AJ1010" s="46">
        <f>IF(AN1010=0,M1010,0)</f>
        <v>0</v>
      </c>
      <c r="AK1010" s="46">
        <f>IF(AN1010=15,M1010,0)</f>
        <v>0</v>
      </c>
      <c r="AL1010" s="46">
        <f>IF(AN1010=21,M1010,0)</f>
        <v>0</v>
      </c>
      <c r="AN1010" s="46">
        <v>21</v>
      </c>
      <c r="AO1010" s="46">
        <f>J1010*1</f>
        <v>0</v>
      </c>
      <c r="AP1010" s="46">
        <f>J1010*(1-1)</f>
        <v>0</v>
      </c>
      <c r="AQ1010" s="42" t="s">
        <v>871</v>
      </c>
      <c r="AV1010" s="46">
        <f>AW1010+AX1010</f>
        <v>0</v>
      </c>
      <c r="AW1010" s="46">
        <f>I1010*AO1010</f>
        <v>0</v>
      </c>
      <c r="AX1010" s="46">
        <f>I1010*AP1010</f>
        <v>0</v>
      </c>
      <c r="AY1010" s="42" t="s">
        <v>337</v>
      </c>
      <c r="AZ1010" s="42" t="s">
        <v>1451</v>
      </c>
      <c r="BA1010" s="1" t="s">
        <v>630</v>
      </c>
      <c r="BC1010" s="46">
        <f>AW1010+AX1010</f>
        <v>0</v>
      </c>
      <c r="BD1010" s="46">
        <f>J1010/(100-BE1010)*100</f>
        <v>0</v>
      </c>
      <c r="BE1010" s="46">
        <v>0</v>
      </c>
      <c r="BF1010" s="46">
        <f>1010</f>
        <v>1010</v>
      </c>
      <c r="BH1010" s="46">
        <f>I1010*AO1010</f>
        <v>0</v>
      </c>
      <c r="BI1010" s="46">
        <f>I1010*AP1010</f>
        <v>0</v>
      </c>
      <c r="BJ1010" s="46">
        <f>I1010*J1010</f>
        <v>0</v>
      </c>
      <c r="BK1010" s="46"/>
      <c r="BL1010" s="46"/>
    </row>
    <row r="1011" spans="1:15" ht="15" customHeight="1">
      <c r="A1011" s="10"/>
      <c r="D1011" s="32" t="s">
        <v>1157</v>
      </c>
      <c r="G1011" s="32" t="s">
        <v>1157</v>
      </c>
      <c r="I1011" s="58">
        <v>2</v>
      </c>
      <c r="O1011" s="30"/>
    </row>
    <row r="1012" spans="1:35" ht="15" customHeight="1">
      <c r="A1012" s="3" t="s">
        <v>1163</v>
      </c>
      <c r="B1012" s="9" t="s">
        <v>1471</v>
      </c>
      <c r="C1012" s="9" t="s">
        <v>1163</v>
      </c>
      <c r="D1012" s="64" t="s">
        <v>989</v>
      </c>
      <c r="E1012" s="64"/>
      <c r="F1012" s="64"/>
      <c r="G1012" s="64"/>
      <c r="H1012" s="41" t="s">
        <v>1537</v>
      </c>
      <c r="I1012" s="41" t="s">
        <v>1537</v>
      </c>
      <c r="J1012" s="41" t="s">
        <v>1537</v>
      </c>
      <c r="K1012" s="50">
        <f>K1013+K1020+K1023+K1028+K1033</f>
        <v>0</v>
      </c>
      <c r="L1012" s="50">
        <f>L1013+L1020+L1023+L1028+L1033</f>
        <v>0</v>
      </c>
      <c r="M1012" s="50">
        <f>M1013+M1020+M1023+M1028+M1033</f>
        <v>0</v>
      </c>
      <c r="N1012" s="1" t="s">
        <v>1163</v>
      </c>
      <c r="O1012" s="45" t="s">
        <v>1163</v>
      </c>
      <c r="AI1012" s="1" t="s">
        <v>1471</v>
      </c>
    </row>
    <row r="1013" spans="1:47" ht="15" customHeight="1">
      <c r="A1013" s="3" t="s">
        <v>1163</v>
      </c>
      <c r="B1013" s="9" t="s">
        <v>1471</v>
      </c>
      <c r="C1013" s="9" t="s">
        <v>1235</v>
      </c>
      <c r="D1013" s="64" t="s">
        <v>768</v>
      </c>
      <c r="E1013" s="64"/>
      <c r="F1013" s="64"/>
      <c r="G1013" s="64"/>
      <c r="H1013" s="41" t="s">
        <v>1537</v>
      </c>
      <c r="I1013" s="41" t="s">
        <v>1537</v>
      </c>
      <c r="J1013" s="41" t="s">
        <v>1537</v>
      </c>
      <c r="K1013" s="50">
        <f>SUM(K1014:K1018)</f>
        <v>0</v>
      </c>
      <c r="L1013" s="50">
        <f>SUM(L1014:L1018)</f>
        <v>0</v>
      </c>
      <c r="M1013" s="50">
        <f>SUM(M1014:M1018)</f>
        <v>0</v>
      </c>
      <c r="N1013" s="1" t="s">
        <v>1163</v>
      </c>
      <c r="O1013" s="45" t="s">
        <v>1163</v>
      </c>
      <c r="AI1013" s="1" t="s">
        <v>1471</v>
      </c>
      <c r="AS1013" s="50">
        <f>SUM(AJ1014:AJ1018)</f>
        <v>0</v>
      </c>
      <c r="AT1013" s="50">
        <f>SUM(AK1014:AK1018)</f>
        <v>0</v>
      </c>
      <c r="AU1013" s="50">
        <f>SUM(AL1014:AL1018)</f>
        <v>0</v>
      </c>
    </row>
    <row r="1014" spans="1:65" ht="15" customHeight="1">
      <c r="A1014" s="52" t="s">
        <v>170</v>
      </c>
      <c r="B1014" s="43" t="s">
        <v>1471</v>
      </c>
      <c r="C1014" s="43" t="s">
        <v>774</v>
      </c>
      <c r="D1014" s="61" t="s">
        <v>1280</v>
      </c>
      <c r="E1014" s="61"/>
      <c r="F1014" s="61"/>
      <c r="G1014" s="61"/>
      <c r="H1014" s="43" t="s">
        <v>1126</v>
      </c>
      <c r="I1014" s="46">
        <v>1</v>
      </c>
      <c r="J1014" s="46">
        <v>0</v>
      </c>
      <c r="K1014" s="46">
        <f>I1014*AO1014</f>
        <v>0</v>
      </c>
      <c r="L1014" s="46">
        <f>I1014*AP1014</f>
        <v>0</v>
      </c>
      <c r="M1014" s="46">
        <f>I1014*J1014</f>
        <v>0</v>
      </c>
      <c r="N1014" s="46">
        <v>0</v>
      </c>
      <c r="O1014" s="6" t="s">
        <v>1149</v>
      </c>
      <c r="Z1014" s="46">
        <f>IF(AQ1014="5",BJ1014,0)</f>
        <v>0</v>
      </c>
      <c r="AB1014" s="46">
        <f>IF(AQ1014="1",BH1014,0)</f>
        <v>0</v>
      </c>
      <c r="AC1014" s="46">
        <f>IF(AQ1014="1",BI1014,0)</f>
        <v>0</v>
      </c>
      <c r="AD1014" s="46">
        <f>IF(AQ1014="7",BH1014,0)</f>
        <v>0</v>
      </c>
      <c r="AE1014" s="46">
        <f>IF(AQ1014="7",BI1014,0)</f>
        <v>0</v>
      </c>
      <c r="AF1014" s="46">
        <f>IF(AQ1014="2",BH1014,0)</f>
        <v>0</v>
      </c>
      <c r="AG1014" s="46">
        <f>IF(AQ1014="2",BI1014,0)</f>
        <v>0</v>
      </c>
      <c r="AH1014" s="46">
        <f>IF(AQ1014="0",BJ1014,0)</f>
        <v>0</v>
      </c>
      <c r="AI1014" s="1" t="s">
        <v>1471</v>
      </c>
      <c r="AJ1014" s="46">
        <f>IF(AN1014=0,M1014,0)</f>
        <v>0</v>
      </c>
      <c r="AK1014" s="46">
        <f>IF(AN1014=15,M1014,0)</f>
        <v>0</v>
      </c>
      <c r="AL1014" s="46">
        <f>IF(AN1014=21,M1014,0)</f>
        <v>0</v>
      </c>
      <c r="AN1014" s="46">
        <v>21</v>
      </c>
      <c r="AO1014" s="46">
        <f>J1014*0</f>
        <v>0</v>
      </c>
      <c r="AP1014" s="46">
        <f>J1014*(1-0)</f>
        <v>0</v>
      </c>
      <c r="AQ1014" s="42" t="s">
        <v>765</v>
      </c>
      <c r="AV1014" s="46">
        <f>AW1014+AX1014</f>
        <v>0</v>
      </c>
      <c r="AW1014" s="46">
        <f>I1014*AO1014</f>
        <v>0</v>
      </c>
      <c r="AX1014" s="46">
        <f>I1014*AP1014</f>
        <v>0</v>
      </c>
      <c r="AY1014" s="42" t="s">
        <v>784</v>
      </c>
      <c r="AZ1014" s="42" t="s">
        <v>1603</v>
      </c>
      <c r="BA1014" s="1" t="s">
        <v>630</v>
      </c>
      <c r="BC1014" s="46">
        <f>AW1014+AX1014</f>
        <v>0</v>
      </c>
      <c r="BD1014" s="46">
        <f>J1014/(100-BE1014)*100</f>
        <v>0</v>
      </c>
      <c r="BE1014" s="46">
        <v>0</v>
      </c>
      <c r="BF1014" s="46">
        <f>1014</f>
        <v>1014</v>
      </c>
      <c r="BH1014" s="46">
        <f>I1014*AO1014</f>
        <v>0</v>
      </c>
      <c r="BI1014" s="46">
        <f>I1014*AP1014</f>
        <v>0</v>
      </c>
      <c r="BJ1014" s="46">
        <f>I1014*J1014</f>
        <v>0</v>
      </c>
      <c r="BK1014" s="46"/>
      <c r="BL1014" s="46"/>
      <c r="BM1014" s="46">
        <f>I1014*J1014</f>
        <v>0</v>
      </c>
    </row>
    <row r="1015" spans="1:15" ht="15" customHeight="1">
      <c r="A1015" s="10"/>
      <c r="D1015" s="32" t="s">
        <v>1648</v>
      </c>
      <c r="G1015" s="32" t="s">
        <v>1163</v>
      </c>
      <c r="I1015" s="58">
        <v>1</v>
      </c>
      <c r="O1015" s="30"/>
    </row>
    <row r="1016" spans="1:65" ht="15" customHeight="1">
      <c r="A1016" s="52" t="s">
        <v>262</v>
      </c>
      <c r="B1016" s="43" t="s">
        <v>1471</v>
      </c>
      <c r="C1016" s="43" t="s">
        <v>1170</v>
      </c>
      <c r="D1016" s="61" t="s">
        <v>1131</v>
      </c>
      <c r="E1016" s="61"/>
      <c r="F1016" s="61"/>
      <c r="G1016" s="61"/>
      <c r="H1016" s="43" t="s">
        <v>1126</v>
      </c>
      <c r="I1016" s="46">
        <v>1</v>
      </c>
      <c r="J1016" s="46">
        <v>0</v>
      </c>
      <c r="K1016" s="46">
        <f>I1016*AO1016</f>
        <v>0</v>
      </c>
      <c r="L1016" s="46">
        <f>I1016*AP1016</f>
        <v>0</v>
      </c>
      <c r="M1016" s="46">
        <f>I1016*J1016</f>
        <v>0</v>
      </c>
      <c r="N1016" s="46">
        <v>0</v>
      </c>
      <c r="O1016" s="6" t="s">
        <v>1149</v>
      </c>
      <c r="Z1016" s="46">
        <f>IF(AQ1016="5",BJ1016,0)</f>
        <v>0</v>
      </c>
      <c r="AB1016" s="46">
        <f>IF(AQ1016="1",BH1016,0)</f>
        <v>0</v>
      </c>
      <c r="AC1016" s="46">
        <f>IF(AQ1016="1",BI1016,0)</f>
        <v>0</v>
      </c>
      <c r="AD1016" s="46">
        <f>IF(AQ1016="7",BH1016,0)</f>
        <v>0</v>
      </c>
      <c r="AE1016" s="46">
        <f>IF(AQ1016="7",BI1016,0)</f>
        <v>0</v>
      </c>
      <c r="AF1016" s="46">
        <f>IF(AQ1016="2",BH1016,0)</f>
        <v>0</v>
      </c>
      <c r="AG1016" s="46">
        <f>IF(AQ1016="2",BI1016,0)</f>
        <v>0</v>
      </c>
      <c r="AH1016" s="46">
        <f>IF(AQ1016="0",BJ1016,0)</f>
        <v>0</v>
      </c>
      <c r="AI1016" s="1" t="s">
        <v>1471</v>
      </c>
      <c r="AJ1016" s="46">
        <f>IF(AN1016=0,M1016,0)</f>
        <v>0</v>
      </c>
      <c r="AK1016" s="46">
        <f>IF(AN1016=15,M1016,0)</f>
        <v>0</v>
      </c>
      <c r="AL1016" s="46">
        <f>IF(AN1016=21,M1016,0)</f>
        <v>0</v>
      </c>
      <c r="AN1016" s="46">
        <v>21</v>
      </c>
      <c r="AO1016" s="46">
        <f>J1016*0</f>
        <v>0</v>
      </c>
      <c r="AP1016" s="46">
        <f>J1016*(1-0)</f>
        <v>0</v>
      </c>
      <c r="AQ1016" s="42" t="s">
        <v>765</v>
      </c>
      <c r="AV1016" s="46">
        <f>AW1016+AX1016</f>
        <v>0</v>
      </c>
      <c r="AW1016" s="46">
        <f>I1016*AO1016</f>
        <v>0</v>
      </c>
      <c r="AX1016" s="46">
        <f>I1016*AP1016</f>
        <v>0</v>
      </c>
      <c r="AY1016" s="42" t="s">
        <v>784</v>
      </c>
      <c r="AZ1016" s="42" t="s">
        <v>1603</v>
      </c>
      <c r="BA1016" s="1" t="s">
        <v>630</v>
      </c>
      <c r="BC1016" s="46">
        <f>AW1016+AX1016</f>
        <v>0</v>
      </c>
      <c r="BD1016" s="46">
        <f>J1016/(100-BE1016)*100</f>
        <v>0</v>
      </c>
      <c r="BE1016" s="46">
        <v>0</v>
      </c>
      <c r="BF1016" s="46">
        <f>1016</f>
        <v>1016</v>
      </c>
      <c r="BH1016" s="46">
        <f>I1016*AO1016</f>
        <v>0</v>
      </c>
      <c r="BI1016" s="46">
        <f>I1016*AP1016</f>
        <v>0</v>
      </c>
      <c r="BJ1016" s="46">
        <f>I1016*J1016</f>
        <v>0</v>
      </c>
      <c r="BK1016" s="46"/>
      <c r="BL1016" s="46"/>
      <c r="BM1016" s="46">
        <f>I1016*J1016</f>
        <v>0</v>
      </c>
    </row>
    <row r="1017" spans="1:15" ht="15" customHeight="1">
      <c r="A1017" s="10"/>
      <c r="D1017" s="32" t="s">
        <v>1648</v>
      </c>
      <c r="G1017" s="32" t="s">
        <v>1163</v>
      </c>
      <c r="I1017" s="58">
        <v>1</v>
      </c>
      <c r="O1017" s="30"/>
    </row>
    <row r="1018" spans="1:65" ht="15" customHeight="1">
      <c r="A1018" s="52" t="s">
        <v>8</v>
      </c>
      <c r="B1018" s="43" t="s">
        <v>1471</v>
      </c>
      <c r="C1018" s="43" t="s">
        <v>1170</v>
      </c>
      <c r="D1018" s="61" t="s">
        <v>142</v>
      </c>
      <c r="E1018" s="61"/>
      <c r="F1018" s="61"/>
      <c r="G1018" s="61"/>
      <c r="H1018" s="43" t="s">
        <v>1126</v>
      </c>
      <c r="I1018" s="46">
        <v>1</v>
      </c>
      <c r="J1018" s="46">
        <v>0</v>
      </c>
      <c r="K1018" s="46">
        <f>I1018*AO1018</f>
        <v>0</v>
      </c>
      <c r="L1018" s="46">
        <f>I1018*AP1018</f>
        <v>0</v>
      </c>
      <c r="M1018" s="46">
        <f>I1018*J1018</f>
        <v>0</v>
      </c>
      <c r="N1018" s="46">
        <v>0</v>
      </c>
      <c r="O1018" s="6" t="s">
        <v>1149</v>
      </c>
      <c r="Z1018" s="46">
        <f>IF(AQ1018="5",BJ1018,0)</f>
        <v>0</v>
      </c>
      <c r="AB1018" s="46">
        <f>IF(AQ1018="1",BH1018,0)</f>
        <v>0</v>
      </c>
      <c r="AC1018" s="46">
        <f>IF(AQ1018="1",BI1018,0)</f>
        <v>0</v>
      </c>
      <c r="AD1018" s="46">
        <f>IF(AQ1018="7",BH1018,0)</f>
        <v>0</v>
      </c>
      <c r="AE1018" s="46">
        <f>IF(AQ1018="7",BI1018,0)</f>
        <v>0</v>
      </c>
      <c r="AF1018" s="46">
        <f>IF(AQ1018="2",BH1018,0)</f>
        <v>0</v>
      </c>
      <c r="AG1018" s="46">
        <f>IF(AQ1018="2",BI1018,0)</f>
        <v>0</v>
      </c>
      <c r="AH1018" s="46">
        <f>IF(AQ1018="0",BJ1018,0)</f>
        <v>0</v>
      </c>
      <c r="AI1018" s="1" t="s">
        <v>1471</v>
      </c>
      <c r="AJ1018" s="46">
        <f>IF(AN1018=0,M1018,0)</f>
        <v>0</v>
      </c>
      <c r="AK1018" s="46">
        <f>IF(AN1018=15,M1018,0)</f>
        <v>0</v>
      </c>
      <c r="AL1018" s="46">
        <f>IF(AN1018=21,M1018,0)</f>
        <v>0</v>
      </c>
      <c r="AN1018" s="46">
        <v>21</v>
      </c>
      <c r="AO1018" s="46">
        <f>J1018*0</f>
        <v>0</v>
      </c>
      <c r="AP1018" s="46">
        <f>J1018*(1-0)</f>
        <v>0</v>
      </c>
      <c r="AQ1018" s="42" t="s">
        <v>765</v>
      </c>
      <c r="AV1018" s="46">
        <f>AW1018+AX1018</f>
        <v>0</v>
      </c>
      <c r="AW1018" s="46">
        <f>I1018*AO1018</f>
        <v>0</v>
      </c>
      <c r="AX1018" s="46">
        <f>I1018*AP1018</f>
        <v>0</v>
      </c>
      <c r="AY1018" s="42" t="s">
        <v>784</v>
      </c>
      <c r="AZ1018" s="42" t="s">
        <v>1603</v>
      </c>
      <c r="BA1018" s="1" t="s">
        <v>630</v>
      </c>
      <c r="BC1018" s="46">
        <f>AW1018+AX1018</f>
        <v>0</v>
      </c>
      <c r="BD1018" s="46">
        <f>J1018/(100-BE1018)*100</f>
        <v>0</v>
      </c>
      <c r="BE1018" s="46">
        <v>0</v>
      </c>
      <c r="BF1018" s="46">
        <f>1018</f>
        <v>1018</v>
      </c>
      <c r="BH1018" s="46">
        <f>I1018*AO1018</f>
        <v>0</v>
      </c>
      <c r="BI1018" s="46">
        <f>I1018*AP1018</f>
        <v>0</v>
      </c>
      <c r="BJ1018" s="46">
        <f>I1018*J1018</f>
        <v>0</v>
      </c>
      <c r="BK1018" s="46"/>
      <c r="BL1018" s="46"/>
      <c r="BM1018" s="46">
        <f>I1018*J1018</f>
        <v>0</v>
      </c>
    </row>
    <row r="1019" spans="1:15" ht="15" customHeight="1">
      <c r="A1019" s="10"/>
      <c r="D1019" s="32" t="s">
        <v>1648</v>
      </c>
      <c r="G1019" s="32" t="s">
        <v>1163</v>
      </c>
      <c r="I1019" s="58">
        <v>1</v>
      </c>
      <c r="O1019" s="30"/>
    </row>
    <row r="1020" spans="1:47" ht="15" customHeight="1">
      <c r="A1020" s="3" t="s">
        <v>1163</v>
      </c>
      <c r="B1020" s="9" t="s">
        <v>1471</v>
      </c>
      <c r="C1020" s="9" t="s">
        <v>551</v>
      </c>
      <c r="D1020" s="64" t="s">
        <v>1429</v>
      </c>
      <c r="E1020" s="64"/>
      <c r="F1020" s="64"/>
      <c r="G1020" s="64"/>
      <c r="H1020" s="41" t="s">
        <v>1537</v>
      </c>
      <c r="I1020" s="41" t="s">
        <v>1537</v>
      </c>
      <c r="J1020" s="41" t="s">
        <v>1537</v>
      </c>
      <c r="K1020" s="50">
        <f>SUM(K1021:K1021)</f>
        <v>0</v>
      </c>
      <c r="L1020" s="50">
        <f>SUM(L1021:L1021)</f>
        <v>0</v>
      </c>
      <c r="M1020" s="50">
        <f>SUM(M1021:M1021)</f>
        <v>0</v>
      </c>
      <c r="N1020" s="1" t="s">
        <v>1163</v>
      </c>
      <c r="O1020" s="45" t="s">
        <v>1163</v>
      </c>
      <c r="AI1020" s="1" t="s">
        <v>1471</v>
      </c>
      <c r="AS1020" s="50">
        <f>SUM(AJ1021:AJ1021)</f>
        <v>0</v>
      </c>
      <c r="AT1020" s="50">
        <f>SUM(AK1021:AK1021)</f>
        <v>0</v>
      </c>
      <c r="AU1020" s="50">
        <f>SUM(AL1021:AL1021)</f>
        <v>0</v>
      </c>
    </row>
    <row r="1021" spans="1:66" ht="15" customHeight="1">
      <c r="A1021" s="52" t="s">
        <v>335</v>
      </c>
      <c r="B1021" s="43" t="s">
        <v>1471</v>
      </c>
      <c r="C1021" s="43" t="s">
        <v>1183</v>
      </c>
      <c r="D1021" s="61" t="s">
        <v>911</v>
      </c>
      <c r="E1021" s="61"/>
      <c r="F1021" s="61"/>
      <c r="G1021" s="61"/>
      <c r="H1021" s="43" t="s">
        <v>1126</v>
      </c>
      <c r="I1021" s="46">
        <v>1</v>
      </c>
      <c r="J1021" s="46">
        <v>0</v>
      </c>
      <c r="K1021" s="46">
        <f>I1021*AO1021</f>
        <v>0</v>
      </c>
      <c r="L1021" s="46">
        <f>I1021*AP1021</f>
        <v>0</v>
      </c>
      <c r="M1021" s="46">
        <f>I1021*J1021</f>
        <v>0</v>
      </c>
      <c r="N1021" s="46">
        <v>0</v>
      </c>
      <c r="O1021" s="6" t="s">
        <v>1149</v>
      </c>
      <c r="Z1021" s="46">
        <f>IF(AQ1021="5",BJ1021,0)</f>
        <v>0</v>
      </c>
      <c r="AB1021" s="46">
        <f>IF(AQ1021="1",BH1021,0)</f>
        <v>0</v>
      </c>
      <c r="AC1021" s="46">
        <f>IF(AQ1021="1",BI1021,0)</f>
        <v>0</v>
      </c>
      <c r="AD1021" s="46">
        <f>IF(AQ1021="7",BH1021,0)</f>
        <v>0</v>
      </c>
      <c r="AE1021" s="46">
        <f>IF(AQ1021="7",BI1021,0)</f>
        <v>0</v>
      </c>
      <c r="AF1021" s="46">
        <f>IF(AQ1021="2",BH1021,0)</f>
        <v>0</v>
      </c>
      <c r="AG1021" s="46">
        <f>IF(AQ1021="2",BI1021,0)</f>
        <v>0</v>
      </c>
      <c r="AH1021" s="46">
        <f>IF(AQ1021="0",BJ1021,0)</f>
        <v>0</v>
      </c>
      <c r="AI1021" s="1" t="s">
        <v>1471</v>
      </c>
      <c r="AJ1021" s="46">
        <f>IF(AN1021=0,M1021,0)</f>
        <v>0</v>
      </c>
      <c r="AK1021" s="46">
        <f>IF(AN1021=15,M1021,0)</f>
        <v>0</v>
      </c>
      <c r="AL1021" s="46">
        <f>IF(AN1021=21,M1021,0)</f>
        <v>0</v>
      </c>
      <c r="AN1021" s="46">
        <v>21</v>
      </c>
      <c r="AO1021" s="46">
        <f>J1021*0</f>
        <v>0</v>
      </c>
      <c r="AP1021" s="46">
        <f>J1021*(1-0)</f>
        <v>0</v>
      </c>
      <c r="AQ1021" s="42" t="s">
        <v>765</v>
      </c>
      <c r="AV1021" s="46">
        <f>AW1021+AX1021</f>
        <v>0</v>
      </c>
      <c r="AW1021" s="46">
        <f>I1021*AO1021</f>
        <v>0</v>
      </c>
      <c r="AX1021" s="46">
        <f>I1021*AP1021</f>
        <v>0</v>
      </c>
      <c r="AY1021" s="42" t="s">
        <v>257</v>
      </c>
      <c r="AZ1021" s="42" t="s">
        <v>1603</v>
      </c>
      <c r="BA1021" s="1" t="s">
        <v>630</v>
      </c>
      <c r="BC1021" s="46">
        <f>AW1021+AX1021</f>
        <v>0</v>
      </c>
      <c r="BD1021" s="46">
        <f>J1021/(100-BE1021)*100</f>
        <v>0</v>
      </c>
      <c r="BE1021" s="46">
        <v>0</v>
      </c>
      <c r="BF1021" s="46">
        <f>1021</f>
        <v>1021</v>
      </c>
      <c r="BH1021" s="46">
        <f>I1021*AO1021</f>
        <v>0</v>
      </c>
      <c r="BI1021" s="46">
        <f>I1021*AP1021</f>
        <v>0</v>
      </c>
      <c r="BJ1021" s="46">
        <f>I1021*J1021</f>
        <v>0</v>
      </c>
      <c r="BK1021" s="46"/>
      <c r="BL1021" s="46"/>
      <c r="BN1021" s="46">
        <f>I1021*J1021</f>
        <v>0</v>
      </c>
    </row>
    <row r="1022" spans="1:15" ht="15" customHeight="1">
      <c r="A1022" s="10"/>
      <c r="D1022" s="32" t="s">
        <v>1648</v>
      </c>
      <c r="G1022" s="32" t="s">
        <v>1163</v>
      </c>
      <c r="I1022" s="58">
        <v>1</v>
      </c>
      <c r="O1022" s="30"/>
    </row>
    <row r="1023" spans="1:47" ht="15" customHeight="1">
      <c r="A1023" s="3" t="s">
        <v>1163</v>
      </c>
      <c r="B1023" s="9" t="s">
        <v>1471</v>
      </c>
      <c r="C1023" s="9" t="s">
        <v>80</v>
      </c>
      <c r="D1023" s="64" t="s">
        <v>168</v>
      </c>
      <c r="E1023" s="64"/>
      <c r="F1023" s="64"/>
      <c r="G1023" s="64"/>
      <c r="H1023" s="41" t="s">
        <v>1537</v>
      </c>
      <c r="I1023" s="41" t="s">
        <v>1537</v>
      </c>
      <c r="J1023" s="41" t="s">
        <v>1537</v>
      </c>
      <c r="K1023" s="50">
        <f>SUM(K1024:K1026)</f>
        <v>0</v>
      </c>
      <c r="L1023" s="50">
        <f>SUM(L1024:L1026)</f>
        <v>0</v>
      </c>
      <c r="M1023" s="50">
        <f>SUM(M1024:M1026)</f>
        <v>0</v>
      </c>
      <c r="N1023" s="1" t="s">
        <v>1163</v>
      </c>
      <c r="O1023" s="45" t="s">
        <v>1163</v>
      </c>
      <c r="AI1023" s="1" t="s">
        <v>1471</v>
      </c>
      <c r="AS1023" s="50">
        <f>SUM(AJ1024:AJ1026)</f>
        <v>0</v>
      </c>
      <c r="AT1023" s="50">
        <f>SUM(AK1024:AK1026)</f>
        <v>0</v>
      </c>
      <c r="AU1023" s="50">
        <f>SUM(AL1024:AL1026)</f>
        <v>0</v>
      </c>
    </row>
    <row r="1024" spans="1:67" ht="15" customHeight="1">
      <c r="A1024" s="52" t="s">
        <v>1548</v>
      </c>
      <c r="B1024" s="43" t="s">
        <v>1471</v>
      </c>
      <c r="C1024" s="43" t="s">
        <v>1111</v>
      </c>
      <c r="D1024" s="61" t="s">
        <v>168</v>
      </c>
      <c r="E1024" s="61"/>
      <c r="F1024" s="61"/>
      <c r="G1024" s="61"/>
      <c r="H1024" s="43" t="s">
        <v>1126</v>
      </c>
      <c r="I1024" s="46">
        <v>1</v>
      </c>
      <c r="J1024" s="46">
        <v>0</v>
      </c>
      <c r="K1024" s="46">
        <f>I1024*AO1024</f>
        <v>0</v>
      </c>
      <c r="L1024" s="46">
        <f>I1024*AP1024</f>
        <v>0</v>
      </c>
      <c r="M1024" s="46">
        <f>I1024*J1024</f>
        <v>0</v>
      </c>
      <c r="N1024" s="46">
        <v>0</v>
      </c>
      <c r="O1024" s="6" t="s">
        <v>1149</v>
      </c>
      <c r="Z1024" s="46">
        <f>IF(AQ1024="5",BJ1024,0)</f>
        <v>0</v>
      </c>
      <c r="AB1024" s="46">
        <f>IF(AQ1024="1",BH1024,0)</f>
        <v>0</v>
      </c>
      <c r="AC1024" s="46">
        <f>IF(AQ1024="1",BI1024,0)</f>
        <v>0</v>
      </c>
      <c r="AD1024" s="46">
        <f>IF(AQ1024="7",BH1024,0)</f>
        <v>0</v>
      </c>
      <c r="AE1024" s="46">
        <f>IF(AQ1024="7",BI1024,0)</f>
        <v>0</v>
      </c>
      <c r="AF1024" s="46">
        <f>IF(AQ1024="2",BH1024,0)</f>
        <v>0</v>
      </c>
      <c r="AG1024" s="46">
        <f>IF(AQ1024="2",BI1024,0)</f>
        <v>0</v>
      </c>
      <c r="AH1024" s="46">
        <f>IF(AQ1024="0",BJ1024,0)</f>
        <v>0</v>
      </c>
      <c r="AI1024" s="1" t="s">
        <v>1471</v>
      </c>
      <c r="AJ1024" s="46">
        <f>IF(AN1024=0,M1024,0)</f>
        <v>0</v>
      </c>
      <c r="AK1024" s="46">
        <f>IF(AN1024=15,M1024,0)</f>
        <v>0</v>
      </c>
      <c r="AL1024" s="46">
        <f>IF(AN1024=21,M1024,0)</f>
        <v>0</v>
      </c>
      <c r="AN1024" s="46">
        <v>21</v>
      </c>
      <c r="AO1024" s="46">
        <f>J1024*0</f>
        <v>0</v>
      </c>
      <c r="AP1024" s="46">
        <f>J1024*(1-0)</f>
        <v>0</v>
      </c>
      <c r="AQ1024" s="42" t="s">
        <v>765</v>
      </c>
      <c r="AV1024" s="46">
        <f>AW1024+AX1024</f>
        <v>0</v>
      </c>
      <c r="AW1024" s="46">
        <f>I1024*AO1024</f>
        <v>0</v>
      </c>
      <c r="AX1024" s="46">
        <f>I1024*AP1024</f>
        <v>0</v>
      </c>
      <c r="AY1024" s="42" t="s">
        <v>365</v>
      </c>
      <c r="AZ1024" s="42" t="s">
        <v>1603</v>
      </c>
      <c r="BA1024" s="1" t="s">
        <v>630</v>
      </c>
      <c r="BC1024" s="46">
        <f>AW1024+AX1024</f>
        <v>0</v>
      </c>
      <c r="BD1024" s="46">
        <f>J1024/(100-BE1024)*100</f>
        <v>0</v>
      </c>
      <c r="BE1024" s="46">
        <v>0</v>
      </c>
      <c r="BF1024" s="46">
        <f>1024</f>
        <v>1024</v>
      </c>
      <c r="BH1024" s="46">
        <f>I1024*AO1024</f>
        <v>0</v>
      </c>
      <c r="BI1024" s="46">
        <f>I1024*AP1024</f>
        <v>0</v>
      </c>
      <c r="BJ1024" s="46">
        <f>I1024*J1024</f>
        <v>0</v>
      </c>
      <c r="BK1024" s="46"/>
      <c r="BL1024" s="46"/>
      <c r="BO1024" s="46">
        <f>I1024*J1024</f>
        <v>0</v>
      </c>
    </row>
    <row r="1025" spans="1:15" ht="15" customHeight="1">
      <c r="A1025" s="10"/>
      <c r="D1025" s="32" t="s">
        <v>1648</v>
      </c>
      <c r="G1025" s="32" t="s">
        <v>1163</v>
      </c>
      <c r="I1025" s="58">
        <v>1</v>
      </c>
      <c r="O1025" s="30"/>
    </row>
    <row r="1026" spans="1:67" ht="15" customHeight="1">
      <c r="A1026" s="52" t="s">
        <v>1001</v>
      </c>
      <c r="B1026" s="43" t="s">
        <v>1471</v>
      </c>
      <c r="C1026" s="43" t="s">
        <v>300</v>
      </c>
      <c r="D1026" s="61" t="s">
        <v>311</v>
      </c>
      <c r="E1026" s="61"/>
      <c r="F1026" s="61"/>
      <c r="G1026" s="61"/>
      <c r="H1026" s="43" t="s">
        <v>1126</v>
      </c>
      <c r="I1026" s="46">
        <v>1</v>
      </c>
      <c r="J1026" s="46">
        <v>0</v>
      </c>
      <c r="K1026" s="46">
        <f>I1026*AO1026</f>
        <v>0</v>
      </c>
      <c r="L1026" s="46">
        <f>I1026*AP1026</f>
        <v>0</v>
      </c>
      <c r="M1026" s="46">
        <f>I1026*J1026</f>
        <v>0</v>
      </c>
      <c r="N1026" s="46">
        <v>0</v>
      </c>
      <c r="O1026" s="6" t="s">
        <v>1149</v>
      </c>
      <c r="Z1026" s="46">
        <f>IF(AQ1026="5",BJ1026,0)</f>
        <v>0</v>
      </c>
      <c r="AB1026" s="46">
        <f>IF(AQ1026="1",BH1026,0)</f>
        <v>0</v>
      </c>
      <c r="AC1026" s="46">
        <f>IF(AQ1026="1",BI1026,0)</f>
        <v>0</v>
      </c>
      <c r="AD1026" s="46">
        <f>IF(AQ1026="7",BH1026,0)</f>
        <v>0</v>
      </c>
      <c r="AE1026" s="46">
        <f>IF(AQ1026="7",BI1026,0)</f>
        <v>0</v>
      </c>
      <c r="AF1026" s="46">
        <f>IF(AQ1026="2",BH1026,0)</f>
        <v>0</v>
      </c>
      <c r="AG1026" s="46">
        <f>IF(AQ1026="2",BI1026,0)</f>
        <v>0</v>
      </c>
      <c r="AH1026" s="46">
        <f>IF(AQ1026="0",BJ1026,0)</f>
        <v>0</v>
      </c>
      <c r="AI1026" s="1" t="s">
        <v>1471</v>
      </c>
      <c r="AJ1026" s="46">
        <f>IF(AN1026=0,M1026,0)</f>
        <v>0</v>
      </c>
      <c r="AK1026" s="46">
        <f>IF(AN1026=15,M1026,0)</f>
        <v>0</v>
      </c>
      <c r="AL1026" s="46">
        <f>IF(AN1026=21,M1026,0)</f>
        <v>0</v>
      </c>
      <c r="AN1026" s="46">
        <v>21</v>
      </c>
      <c r="AO1026" s="46">
        <f>J1026*0</f>
        <v>0</v>
      </c>
      <c r="AP1026" s="46">
        <f>J1026*(1-0)</f>
        <v>0</v>
      </c>
      <c r="AQ1026" s="42" t="s">
        <v>765</v>
      </c>
      <c r="AV1026" s="46">
        <f>AW1026+AX1026</f>
        <v>0</v>
      </c>
      <c r="AW1026" s="46">
        <f>I1026*AO1026</f>
        <v>0</v>
      </c>
      <c r="AX1026" s="46">
        <f>I1026*AP1026</f>
        <v>0</v>
      </c>
      <c r="AY1026" s="42" t="s">
        <v>365</v>
      </c>
      <c r="AZ1026" s="42" t="s">
        <v>1603</v>
      </c>
      <c r="BA1026" s="1" t="s">
        <v>630</v>
      </c>
      <c r="BC1026" s="46">
        <f>AW1026+AX1026</f>
        <v>0</v>
      </c>
      <c r="BD1026" s="46">
        <f>J1026/(100-BE1026)*100</f>
        <v>0</v>
      </c>
      <c r="BE1026" s="46">
        <v>0</v>
      </c>
      <c r="BF1026" s="46">
        <f>1026</f>
        <v>1026</v>
      </c>
      <c r="BH1026" s="46">
        <f>I1026*AO1026</f>
        <v>0</v>
      </c>
      <c r="BI1026" s="46">
        <f>I1026*AP1026</f>
        <v>0</v>
      </c>
      <c r="BJ1026" s="46">
        <f>I1026*J1026</f>
        <v>0</v>
      </c>
      <c r="BK1026" s="46"/>
      <c r="BL1026" s="46"/>
      <c r="BO1026" s="46">
        <f>I1026*J1026</f>
        <v>0</v>
      </c>
    </row>
    <row r="1027" spans="1:15" ht="15" customHeight="1">
      <c r="A1027" s="10"/>
      <c r="D1027" s="32" t="s">
        <v>1648</v>
      </c>
      <c r="G1027" s="32" t="s">
        <v>1163</v>
      </c>
      <c r="I1027" s="58">
        <v>1</v>
      </c>
      <c r="O1027" s="30"/>
    </row>
    <row r="1028" spans="1:47" ht="15" customHeight="1">
      <c r="A1028" s="3" t="s">
        <v>1163</v>
      </c>
      <c r="B1028" s="9" t="s">
        <v>1471</v>
      </c>
      <c r="C1028" s="9" t="s">
        <v>536</v>
      </c>
      <c r="D1028" s="64" t="s">
        <v>1370</v>
      </c>
      <c r="E1028" s="64"/>
      <c r="F1028" s="64"/>
      <c r="G1028" s="64"/>
      <c r="H1028" s="41" t="s">
        <v>1537</v>
      </c>
      <c r="I1028" s="41" t="s">
        <v>1537</v>
      </c>
      <c r="J1028" s="41" t="s">
        <v>1537</v>
      </c>
      <c r="K1028" s="50">
        <f>SUM(K1029:K1031)</f>
        <v>0</v>
      </c>
      <c r="L1028" s="50">
        <f>SUM(L1029:L1031)</f>
        <v>0</v>
      </c>
      <c r="M1028" s="50">
        <f>SUM(M1029:M1031)</f>
        <v>0</v>
      </c>
      <c r="N1028" s="1" t="s">
        <v>1163</v>
      </c>
      <c r="O1028" s="45" t="s">
        <v>1163</v>
      </c>
      <c r="AI1028" s="1" t="s">
        <v>1471</v>
      </c>
      <c r="AS1028" s="50">
        <f>SUM(AJ1029:AJ1031)</f>
        <v>0</v>
      </c>
      <c r="AT1028" s="50">
        <f>SUM(AK1029:AK1031)</f>
        <v>0</v>
      </c>
      <c r="AU1028" s="50">
        <f>SUM(AL1029:AL1031)</f>
        <v>0</v>
      </c>
    </row>
    <row r="1029" spans="1:68" ht="15" customHeight="1">
      <c r="A1029" s="52" t="s">
        <v>1800</v>
      </c>
      <c r="B1029" s="43" t="s">
        <v>1471</v>
      </c>
      <c r="C1029" s="43" t="s">
        <v>1132</v>
      </c>
      <c r="D1029" s="61" t="s">
        <v>722</v>
      </c>
      <c r="E1029" s="61"/>
      <c r="F1029" s="61"/>
      <c r="G1029" s="61"/>
      <c r="H1029" s="43" t="s">
        <v>1126</v>
      </c>
      <c r="I1029" s="46">
        <v>1</v>
      </c>
      <c r="J1029" s="46">
        <v>0</v>
      </c>
      <c r="K1029" s="46">
        <f>I1029*AO1029</f>
        <v>0</v>
      </c>
      <c r="L1029" s="46">
        <f>I1029*AP1029</f>
        <v>0</v>
      </c>
      <c r="M1029" s="46">
        <f>I1029*J1029</f>
        <v>0</v>
      </c>
      <c r="N1029" s="46">
        <v>0</v>
      </c>
      <c r="O1029" s="6" t="s">
        <v>1149</v>
      </c>
      <c r="Z1029" s="46">
        <f>IF(AQ1029="5",BJ1029,0)</f>
        <v>0</v>
      </c>
      <c r="AB1029" s="46">
        <f>IF(AQ1029="1",BH1029,0)</f>
        <v>0</v>
      </c>
      <c r="AC1029" s="46">
        <f>IF(AQ1029="1",BI1029,0)</f>
        <v>0</v>
      </c>
      <c r="AD1029" s="46">
        <f>IF(AQ1029="7",BH1029,0)</f>
        <v>0</v>
      </c>
      <c r="AE1029" s="46">
        <f>IF(AQ1029="7",BI1029,0)</f>
        <v>0</v>
      </c>
      <c r="AF1029" s="46">
        <f>IF(AQ1029="2",BH1029,0)</f>
        <v>0</v>
      </c>
      <c r="AG1029" s="46">
        <f>IF(AQ1029="2",BI1029,0)</f>
        <v>0</v>
      </c>
      <c r="AH1029" s="46">
        <f>IF(AQ1029="0",BJ1029,0)</f>
        <v>0</v>
      </c>
      <c r="AI1029" s="1" t="s">
        <v>1471</v>
      </c>
      <c r="AJ1029" s="46">
        <f>IF(AN1029=0,M1029,0)</f>
        <v>0</v>
      </c>
      <c r="AK1029" s="46">
        <f>IF(AN1029=15,M1029,0)</f>
        <v>0</v>
      </c>
      <c r="AL1029" s="46">
        <f>IF(AN1029=21,M1029,0)</f>
        <v>0</v>
      </c>
      <c r="AN1029" s="46">
        <v>21</v>
      </c>
      <c r="AO1029" s="46">
        <f>J1029*0</f>
        <v>0</v>
      </c>
      <c r="AP1029" s="46">
        <f>J1029*(1-0)</f>
        <v>0</v>
      </c>
      <c r="AQ1029" s="42" t="s">
        <v>765</v>
      </c>
      <c r="AV1029" s="46">
        <f>AW1029+AX1029</f>
        <v>0</v>
      </c>
      <c r="AW1029" s="46">
        <f>I1029*AO1029</f>
        <v>0</v>
      </c>
      <c r="AX1029" s="46">
        <f>I1029*AP1029</f>
        <v>0</v>
      </c>
      <c r="AY1029" s="42" t="s">
        <v>1377</v>
      </c>
      <c r="AZ1029" s="42" t="s">
        <v>1603</v>
      </c>
      <c r="BA1029" s="1" t="s">
        <v>630</v>
      </c>
      <c r="BC1029" s="46">
        <f>AW1029+AX1029</f>
        <v>0</v>
      </c>
      <c r="BD1029" s="46">
        <f>J1029/(100-BE1029)*100</f>
        <v>0</v>
      </c>
      <c r="BE1029" s="46">
        <v>0</v>
      </c>
      <c r="BF1029" s="46">
        <f>1029</f>
        <v>1029</v>
      </c>
      <c r="BH1029" s="46">
        <f>I1029*AO1029</f>
        <v>0</v>
      </c>
      <c r="BI1029" s="46">
        <f>I1029*AP1029</f>
        <v>0</v>
      </c>
      <c r="BJ1029" s="46">
        <f>I1029*J1029</f>
        <v>0</v>
      </c>
      <c r="BK1029" s="46"/>
      <c r="BL1029" s="46"/>
      <c r="BP1029" s="46">
        <f>I1029*J1029</f>
        <v>0</v>
      </c>
    </row>
    <row r="1030" spans="1:15" ht="15" customHeight="1">
      <c r="A1030" s="10"/>
      <c r="D1030" s="32" t="s">
        <v>1648</v>
      </c>
      <c r="G1030" s="32" t="s">
        <v>1163</v>
      </c>
      <c r="I1030" s="58">
        <v>1</v>
      </c>
      <c r="O1030" s="30"/>
    </row>
    <row r="1031" spans="1:68" ht="15" customHeight="1">
      <c r="A1031" s="52" t="s">
        <v>854</v>
      </c>
      <c r="B1031" s="43" t="s">
        <v>1471</v>
      </c>
      <c r="C1031" s="43" t="s">
        <v>1132</v>
      </c>
      <c r="D1031" s="61" t="s">
        <v>421</v>
      </c>
      <c r="E1031" s="61"/>
      <c r="F1031" s="61"/>
      <c r="G1031" s="61"/>
      <c r="H1031" s="43" t="s">
        <v>1126</v>
      </c>
      <c r="I1031" s="46">
        <v>4</v>
      </c>
      <c r="J1031" s="46">
        <v>0</v>
      </c>
      <c r="K1031" s="46">
        <f>I1031*AO1031</f>
        <v>0</v>
      </c>
      <c r="L1031" s="46">
        <f>I1031*AP1031</f>
        <v>0</v>
      </c>
      <c r="M1031" s="46">
        <f>I1031*J1031</f>
        <v>0</v>
      </c>
      <c r="N1031" s="46">
        <v>0</v>
      </c>
      <c r="O1031" s="6" t="s">
        <v>1149</v>
      </c>
      <c r="Z1031" s="46">
        <f>IF(AQ1031="5",BJ1031,0)</f>
        <v>0</v>
      </c>
      <c r="AB1031" s="46">
        <f>IF(AQ1031="1",BH1031,0)</f>
        <v>0</v>
      </c>
      <c r="AC1031" s="46">
        <f>IF(AQ1031="1",BI1031,0)</f>
        <v>0</v>
      </c>
      <c r="AD1031" s="46">
        <f>IF(AQ1031="7",BH1031,0)</f>
        <v>0</v>
      </c>
      <c r="AE1031" s="46">
        <f>IF(AQ1031="7",BI1031,0)</f>
        <v>0</v>
      </c>
      <c r="AF1031" s="46">
        <f>IF(AQ1031="2",BH1031,0)</f>
        <v>0</v>
      </c>
      <c r="AG1031" s="46">
        <f>IF(AQ1031="2",BI1031,0)</f>
        <v>0</v>
      </c>
      <c r="AH1031" s="46">
        <f>IF(AQ1031="0",BJ1031,0)</f>
        <v>0</v>
      </c>
      <c r="AI1031" s="1" t="s">
        <v>1471</v>
      </c>
      <c r="AJ1031" s="46">
        <f>IF(AN1031=0,M1031,0)</f>
        <v>0</v>
      </c>
      <c r="AK1031" s="46">
        <f>IF(AN1031=15,M1031,0)</f>
        <v>0</v>
      </c>
      <c r="AL1031" s="46">
        <f>IF(AN1031=21,M1031,0)</f>
        <v>0</v>
      </c>
      <c r="AN1031" s="46">
        <v>21</v>
      </c>
      <c r="AO1031" s="46">
        <f>J1031*0</f>
        <v>0</v>
      </c>
      <c r="AP1031" s="46">
        <f>J1031*(1-0)</f>
        <v>0</v>
      </c>
      <c r="AQ1031" s="42" t="s">
        <v>765</v>
      </c>
      <c r="AV1031" s="46">
        <f>AW1031+AX1031</f>
        <v>0</v>
      </c>
      <c r="AW1031" s="46">
        <f>I1031*AO1031</f>
        <v>0</v>
      </c>
      <c r="AX1031" s="46">
        <f>I1031*AP1031</f>
        <v>0</v>
      </c>
      <c r="AY1031" s="42" t="s">
        <v>1377</v>
      </c>
      <c r="AZ1031" s="42" t="s">
        <v>1603</v>
      </c>
      <c r="BA1031" s="1" t="s">
        <v>630</v>
      </c>
      <c r="BC1031" s="46">
        <f>AW1031+AX1031</f>
        <v>0</v>
      </c>
      <c r="BD1031" s="46">
        <f>J1031/(100-BE1031)*100</f>
        <v>0</v>
      </c>
      <c r="BE1031" s="46">
        <v>0</v>
      </c>
      <c r="BF1031" s="46">
        <f>1031</f>
        <v>1031</v>
      </c>
      <c r="BH1031" s="46">
        <f>I1031*AO1031</f>
        <v>0</v>
      </c>
      <c r="BI1031" s="46">
        <f>I1031*AP1031</f>
        <v>0</v>
      </c>
      <c r="BJ1031" s="46">
        <f>I1031*J1031</f>
        <v>0</v>
      </c>
      <c r="BK1031" s="46"/>
      <c r="BL1031" s="46"/>
      <c r="BP1031" s="46">
        <f>I1031*J1031</f>
        <v>0</v>
      </c>
    </row>
    <row r="1032" spans="1:15" ht="15" customHeight="1">
      <c r="A1032" s="10"/>
      <c r="D1032" s="32" t="s">
        <v>191</v>
      </c>
      <c r="G1032" s="32" t="s">
        <v>1163</v>
      </c>
      <c r="I1032" s="58">
        <v>4</v>
      </c>
      <c r="O1032" s="30"/>
    </row>
    <row r="1033" spans="1:47" ht="15" customHeight="1">
      <c r="A1033" s="3" t="s">
        <v>1163</v>
      </c>
      <c r="B1033" s="9" t="s">
        <v>1471</v>
      </c>
      <c r="C1033" s="9" t="s">
        <v>1230</v>
      </c>
      <c r="D1033" s="64" t="s">
        <v>877</v>
      </c>
      <c r="E1033" s="64"/>
      <c r="F1033" s="64"/>
      <c r="G1033" s="64"/>
      <c r="H1033" s="41" t="s">
        <v>1537</v>
      </c>
      <c r="I1033" s="41" t="s">
        <v>1537</v>
      </c>
      <c r="J1033" s="41" t="s">
        <v>1537</v>
      </c>
      <c r="K1033" s="50">
        <f>SUM(K1034:K1034)</f>
        <v>0</v>
      </c>
      <c r="L1033" s="50">
        <f>SUM(L1034:L1034)</f>
        <v>0</v>
      </c>
      <c r="M1033" s="50">
        <f>SUM(M1034:M1034)</f>
        <v>0</v>
      </c>
      <c r="N1033" s="1" t="s">
        <v>1163</v>
      </c>
      <c r="O1033" s="45" t="s">
        <v>1163</v>
      </c>
      <c r="AI1033" s="1" t="s">
        <v>1471</v>
      </c>
      <c r="AS1033" s="50">
        <f>SUM(AJ1034:AJ1034)</f>
        <v>0</v>
      </c>
      <c r="AT1033" s="50">
        <f>SUM(AK1034:AK1034)</f>
        <v>0</v>
      </c>
      <c r="AU1033" s="50">
        <f>SUM(AL1034:AL1034)</f>
        <v>0</v>
      </c>
    </row>
    <row r="1034" spans="1:71" ht="15" customHeight="1">
      <c r="A1034" s="52" t="s">
        <v>1190</v>
      </c>
      <c r="B1034" s="43" t="s">
        <v>1471</v>
      </c>
      <c r="C1034" s="43" t="s">
        <v>1589</v>
      </c>
      <c r="D1034" s="61" t="s">
        <v>955</v>
      </c>
      <c r="E1034" s="61"/>
      <c r="F1034" s="61"/>
      <c r="G1034" s="61"/>
      <c r="H1034" s="43" t="s">
        <v>1126</v>
      </c>
      <c r="I1034" s="46">
        <v>1</v>
      </c>
      <c r="J1034" s="46">
        <v>0</v>
      </c>
      <c r="K1034" s="46">
        <f>I1034*AO1034</f>
        <v>0</v>
      </c>
      <c r="L1034" s="46">
        <f>I1034*AP1034</f>
        <v>0</v>
      </c>
      <c r="M1034" s="46">
        <f>I1034*J1034</f>
        <v>0</v>
      </c>
      <c r="N1034" s="46">
        <v>0</v>
      </c>
      <c r="O1034" s="6" t="s">
        <v>1149</v>
      </c>
      <c r="Z1034" s="46">
        <f>IF(AQ1034="5",BJ1034,0)</f>
        <v>0</v>
      </c>
      <c r="AB1034" s="46">
        <f>IF(AQ1034="1",BH1034,0)</f>
        <v>0</v>
      </c>
      <c r="AC1034" s="46">
        <f>IF(AQ1034="1",BI1034,0)</f>
        <v>0</v>
      </c>
      <c r="AD1034" s="46">
        <f>IF(AQ1034="7",BH1034,0)</f>
        <v>0</v>
      </c>
      <c r="AE1034" s="46">
        <f>IF(AQ1034="7",BI1034,0)</f>
        <v>0</v>
      </c>
      <c r="AF1034" s="46">
        <f>IF(AQ1034="2",BH1034,0)</f>
        <v>0</v>
      </c>
      <c r="AG1034" s="46">
        <f>IF(AQ1034="2",BI1034,0)</f>
        <v>0</v>
      </c>
      <c r="AH1034" s="46">
        <f>IF(AQ1034="0",BJ1034,0)</f>
        <v>0</v>
      </c>
      <c r="AI1034" s="1" t="s">
        <v>1471</v>
      </c>
      <c r="AJ1034" s="46">
        <f>IF(AN1034=0,M1034,0)</f>
        <v>0</v>
      </c>
      <c r="AK1034" s="46">
        <f>IF(AN1034=15,M1034,0)</f>
        <v>0</v>
      </c>
      <c r="AL1034" s="46">
        <f>IF(AN1034=21,M1034,0)</f>
        <v>0</v>
      </c>
      <c r="AN1034" s="46">
        <v>21</v>
      </c>
      <c r="AO1034" s="46">
        <f>J1034*0</f>
        <v>0</v>
      </c>
      <c r="AP1034" s="46">
        <f>J1034*(1-0)</f>
        <v>0</v>
      </c>
      <c r="AQ1034" s="42" t="s">
        <v>765</v>
      </c>
      <c r="AV1034" s="46">
        <f>AW1034+AX1034</f>
        <v>0</v>
      </c>
      <c r="AW1034" s="46">
        <f>I1034*AO1034</f>
        <v>0</v>
      </c>
      <c r="AX1034" s="46">
        <f>I1034*AP1034</f>
        <v>0</v>
      </c>
      <c r="AY1034" s="42" t="s">
        <v>1617</v>
      </c>
      <c r="AZ1034" s="42" t="s">
        <v>1603</v>
      </c>
      <c r="BA1034" s="1" t="s">
        <v>630</v>
      </c>
      <c r="BC1034" s="46">
        <f>AW1034+AX1034</f>
        <v>0</v>
      </c>
      <c r="BD1034" s="46">
        <f>J1034/(100-BE1034)*100</f>
        <v>0</v>
      </c>
      <c r="BE1034" s="46">
        <v>0</v>
      </c>
      <c r="BF1034" s="46">
        <f>1034</f>
        <v>1034</v>
      </c>
      <c r="BH1034" s="46">
        <f>I1034*AO1034</f>
        <v>0</v>
      </c>
      <c r="BI1034" s="46">
        <f>I1034*AP1034</f>
        <v>0</v>
      </c>
      <c r="BJ1034" s="46">
        <f>I1034*J1034</f>
        <v>0</v>
      </c>
      <c r="BK1034" s="46"/>
      <c r="BL1034" s="46"/>
      <c r="BS1034" s="46">
        <f>I1034*J1034</f>
        <v>0</v>
      </c>
    </row>
    <row r="1035" spans="1:15" ht="15" customHeight="1">
      <c r="A1035" s="10"/>
      <c r="D1035" s="32" t="s">
        <v>1648</v>
      </c>
      <c r="G1035" s="32" t="s">
        <v>1163</v>
      </c>
      <c r="I1035" s="58">
        <v>1</v>
      </c>
      <c r="O1035" s="30"/>
    </row>
    <row r="1036" spans="1:15" ht="13.5" customHeight="1">
      <c r="A1036" s="10"/>
      <c r="C1036" s="36" t="s">
        <v>144</v>
      </c>
      <c r="D1036" s="65" t="s">
        <v>69</v>
      </c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7"/>
    </row>
    <row r="1037" spans="1:15" ht="15" customHeight="1">
      <c r="A1037" s="3" t="s">
        <v>1163</v>
      </c>
      <c r="B1037" s="9" t="s">
        <v>901</v>
      </c>
      <c r="C1037" s="9" t="s">
        <v>1163</v>
      </c>
      <c r="D1037" s="64" t="s">
        <v>1144</v>
      </c>
      <c r="E1037" s="64"/>
      <c r="F1037" s="64"/>
      <c r="G1037" s="64"/>
      <c r="H1037" s="41" t="s">
        <v>1537</v>
      </c>
      <c r="I1037" s="41" t="s">
        <v>1537</v>
      </c>
      <c r="J1037" s="41" t="s">
        <v>1537</v>
      </c>
      <c r="K1037" s="50">
        <f>K1038+K1046+K1049+K1054+K1061</f>
        <v>0</v>
      </c>
      <c r="L1037" s="50">
        <f>L1038+L1046+L1049+L1054+L1061</f>
        <v>0</v>
      </c>
      <c r="M1037" s="50">
        <f>M1038+M1046+M1049+M1054+M1061</f>
        <v>0</v>
      </c>
      <c r="N1037" s="1" t="s">
        <v>1163</v>
      </c>
      <c r="O1037" s="45" t="s">
        <v>1163</v>
      </c>
    </row>
    <row r="1038" spans="1:47" ht="15" customHeight="1">
      <c r="A1038" s="3" t="s">
        <v>1163</v>
      </c>
      <c r="B1038" s="9" t="s">
        <v>901</v>
      </c>
      <c r="C1038" s="9" t="s">
        <v>153</v>
      </c>
      <c r="D1038" s="64" t="s">
        <v>1379</v>
      </c>
      <c r="E1038" s="64"/>
      <c r="F1038" s="64"/>
      <c r="G1038" s="64"/>
      <c r="H1038" s="41" t="s">
        <v>1537</v>
      </c>
      <c r="I1038" s="41" t="s">
        <v>1537</v>
      </c>
      <c r="J1038" s="41" t="s">
        <v>1537</v>
      </c>
      <c r="K1038" s="50">
        <f>SUM(K1039:K1044)</f>
        <v>0</v>
      </c>
      <c r="L1038" s="50">
        <f>SUM(L1039:L1044)</f>
        <v>0</v>
      </c>
      <c r="M1038" s="50">
        <f>SUM(M1039:M1044)</f>
        <v>0</v>
      </c>
      <c r="N1038" s="1" t="s">
        <v>1163</v>
      </c>
      <c r="O1038" s="45" t="s">
        <v>1163</v>
      </c>
      <c r="AI1038" s="1" t="s">
        <v>901</v>
      </c>
      <c r="AS1038" s="50">
        <f>SUM(AJ1039:AJ1044)</f>
        <v>0</v>
      </c>
      <c r="AT1038" s="50">
        <f>SUM(AK1039:AK1044)</f>
        <v>0</v>
      </c>
      <c r="AU1038" s="50">
        <f>SUM(AL1039:AL1044)</f>
        <v>0</v>
      </c>
    </row>
    <row r="1039" spans="1:64" ht="15" customHeight="1">
      <c r="A1039" s="52" t="s">
        <v>158</v>
      </c>
      <c r="B1039" s="43" t="s">
        <v>901</v>
      </c>
      <c r="C1039" s="43" t="s">
        <v>852</v>
      </c>
      <c r="D1039" s="61" t="s">
        <v>217</v>
      </c>
      <c r="E1039" s="61"/>
      <c r="F1039" s="61"/>
      <c r="G1039" s="61"/>
      <c r="H1039" s="43" t="s">
        <v>1604</v>
      </c>
      <c r="I1039" s="46">
        <v>455</v>
      </c>
      <c r="J1039" s="46">
        <v>0</v>
      </c>
      <c r="K1039" s="46">
        <f>I1039*AO1039</f>
        <v>0</v>
      </c>
      <c r="L1039" s="46">
        <f>I1039*AP1039</f>
        <v>0</v>
      </c>
      <c r="M1039" s="46">
        <f>I1039*J1039</f>
        <v>0</v>
      </c>
      <c r="N1039" s="46">
        <v>0</v>
      </c>
      <c r="O1039" s="6" t="s">
        <v>1149</v>
      </c>
      <c r="Z1039" s="46">
        <f>IF(AQ1039="5",BJ1039,0)</f>
        <v>0</v>
      </c>
      <c r="AB1039" s="46">
        <f>IF(AQ1039="1",BH1039,0)</f>
        <v>0</v>
      </c>
      <c r="AC1039" s="46">
        <f>IF(AQ1039="1",BI1039,0)</f>
        <v>0</v>
      </c>
      <c r="AD1039" s="46">
        <f>IF(AQ1039="7",BH1039,0)</f>
        <v>0</v>
      </c>
      <c r="AE1039" s="46">
        <f>IF(AQ1039="7",BI1039,0)</f>
        <v>0</v>
      </c>
      <c r="AF1039" s="46">
        <f>IF(AQ1039="2",BH1039,0)</f>
        <v>0</v>
      </c>
      <c r="AG1039" s="46">
        <f>IF(AQ1039="2",BI1039,0)</f>
        <v>0</v>
      </c>
      <c r="AH1039" s="46">
        <f>IF(AQ1039="0",BJ1039,0)</f>
        <v>0</v>
      </c>
      <c r="AI1039" s="1" t="s">
        <v>901</v>
      </c>
      <c r="AJ1039" s="46">
        <f>IF(AN1039=0,M1039,0)</f>
        <v>0</v>
      </c>
      <c r="AK1039" s="46">
        <f>IF(AN1039=15,M1039,0)</f>
        <v>0</v>
      </c>
      <c r="AL1039" s="46">
        <f>IF(AN1039=21,M1039,0)</f>
        <v>0</v>
      </c>
      <c r="AN1039" s="46">
        <v>21</v>
      </c>
      <c r="AO1039" s="46">
        <f>J1039*0</f>
        <v>0</v>
      </c>
      <c r="AP1039" s="46">
        <f>J1039*(1-0)</f>
        <v>0</v>
      </c>
      <c r="AQ1039" s="42" t="s">
        <v>1648</v>
      </c>
      <c r="AV1039" s="46">
        <f>AW1039+AX1039</f>
        <v>0</v>
      </c>
      <c r="AW1039" s="46">
        <f>I1039*AO1039</f>
        <v>0</v>
      </c>
      <c r="AX1039" s="46">
        <f>I1039*AP1039</f>
        <v>0</v>
      </c>
      <c r="AY1039" s="42" t="s">
        <v>1541</v>
      </c>
      <c r="AZ1039" s="42" t="s">
        <v>872</v>
      </c>
      <c r="BA1039" s="1" t="s">
        <v>1790</v>
      </c>
      <c r="BC1039" s="46">
        <f>AW1039+AX1039</f>
        <v>0</v>
      </c>
      <c r="BD1039" s="46">
        <f>J1039/(100-BE1039)*100</f>
        <v>0</v>
      </c>
      <c r="BE1039" s="46">
        <v>0</v>
      </c>
      <c r="BF1039" s="46">
        <f>1039</f>
        <v>1039</v>
      </c>
      <c r="BH1039" s="46">
        <f>I1039*AO1039</f>
        <v>0</v>
      </c>
      <c r="BI1039" s="46">
        <f>I1039*AP1039</f>
        <v>0</v>
      </c>
      <c r="BJ1039" s="46">
        <f>I1039*J1039</f>
        <v>0</v>
      </c>
      <c r="BK1039" s="46"/>
      <c r="BL1039" s="46">
        <v>16</v>
      </c>
    </row>
    <row r="1040" spans="1:15" ht="15" customHeight="1">
      <c r="A1040" s="10"/>
      <c r="D1040" s="32" t="s">
        <v>962</v>
      </c>
      <c r="G1040" s="32" t="s">
        <v>1323</v>
      </c>
      <c r="I1040" s="58">
        <v>455.00000000000006</v>
      </c>
      <c r="O1040" s="30"/>
    </row>
    <row r="1041" spans="1:15" ht="15" customHeight="1">
      <c r="A1041" s="10"/>
      <c r="D1041" s="32" t="s">
        <v>1163</v>
      </c>
      <c r="G1041" s="32" t="s">
        <v>174</v>
      </c>
      <c r="I1041" s="58">
        <v>0</v>
      </c>
      <c r="O1041" s="30"/>
    </row>
    <row r="1042" spans="1:64" ht="15" customHeight="1">
      <c r="A1042" s="52" t="s">
        <v>1767</v>
      </c>
      <c r="B1042" s="43" t="s">
        <v>901</v>
      </c>
      <c r="C1042" s="43" t="s">
        <v>1493</v>
      </c>
      <c r="D1042" s="61" t="s">
        <v>203</v>
      </c>
      <c r="E1042" s="61"/>
      <c r="F1042" s="61"/>
      <c r="G1042" s="61"/>
      <c r="H1042" s="43" t="s">
        <v>1604</v>
      </c>
      <c r="I1042" s="46">
        <v>455</v>
      </c>
      <c r="J1042" s="46">
        <v>0</v>
      </c>
      <c r="K1042" s="46">
        <f>I1042*AO1042</f>
        <v>0</v>
      </c>
      <c r="L1042" s="46">
        <f>I1042*AP1042</f>
        <v>0</v>
      </c>
      <c r="M1042" s="46">
        <f>I1042*J1042</f>
        <v>0</v>
      </c>
      <c r="N1042" s="46">
        <v>0</v>
      </c>
      <c r="O1042" s="6" t="s">
        <v>1149</v>
      </c>
      <c r="Z1042" s="46">
        <f>IF(AQ1042="5",BJ1042,0)</f>
        <v>0</v>
      </c>
      <c r="AB1042" s="46">
        <f>IF(AQ1042="1",BH1042,0)</f>
        <v>0</v>
      </c>
      <c r="AC1042" s="46">
        <f>IF(AQ1042="1",BI1042,0)</f>
        <v>0</v>
      </c>
      <c r="AD1042" s="46">
        <f>IF(AQ1042="7",BH1042,0)</f>
        <v>0</v>
      </c>
      <c r="AE1042" s="46">
        <f>IF(AQ1042="7",BI1042,0)</f>
        <v>0</v>
      </c>
      <c r="AF1042" s="46">
        <f>IF(AQ1042="2",BH1042,0)</f>
        <v>0</v>
      </c>
      <c r="AG1042" s="46">
        <f>IF(AQ1042="2",BI1042,0)</f>
        <v>0</v>
      </c>
      <c r="AH1042" s="46">
        <f>IF(AQ1042="0",BJ1042,0)</f>
        <v>0</v>
      </c>
      <c r="AI1042" s="1" t="s">
        <v>901</v>
      </c>
      <c r="AJ1042" s="46">
        <f>IF(AN1042=0,M1042,0)</f>
        <v>0</v>
      </c>
      <c r="AK1042" s="46">
        <f>IF(AN1042=15,M1042,0)</f>
        <v>0</v>
      </c>
      <c r="AL1042" s="46">
        <f>IF(AN1042=21,M1042,0)</f>
        <v>0</v>
      </c>
      <c r="AN1042" s="46">
        <v>21</v>
      </c>
      <c r="AO1042" s="46">
        <f>J1042*0</f>
        <v>0</v>
      </c>
      <c r="AP1042" s="46">
        <f>J1042*(1-0)</f>
        <v>0</v>
      </c>
      <c r="AQ1042" s="42" t="s">
        <v>1648</v>
      </c>
      <c r="AV1042" s="46">
        <f>AW1042+AX1042</f>
        <v>0</v>
      </c>
      <c r="AW1042" s="46">
        <f>I1042*AO1042</f>
        <v>0</v>
      </c>
      <c r="AX1042" s="46">
        <f>I1042*AP1042</f>
        <v>0</v>
      </c>
      <c r="AY1042" s="42" t="s">
        <v>1541</v>
      </c>
      <c r="AZ1042" s="42" t="s">
        <v>872</v>
      </c>
      <c r="BA1042" s="1" t="s">
        <v>1790</v>
      </c>
      <c r="BC1042" s="46">
        <f>AW1042+AX1042</f>
        <v>0</v>
      </c>
      <c r="BD1042" s="46">
        <f>J1042/(100-BE1042)*100</f>
        <v>0</v>
      </c>
      <c r="BE1042" s="46">
        <v>0</v>
      </c>
      <c r="BF1042" s="46">
        <f>1042</f>
        <v>1042</v>
      </c>
      <c r="BH1042" s="46">
        <f>I1042*AO1042</f>
        <v>0</v>
      </c>
      <c r="BI1042" s="46">
        <f>I1042*AP1042</f>
        <v>0</v>
      </c>
      <c r="BJ1042" s="46">
        <f>I1042*J1042</f>
        <v>0</v>
      </c>
      <c r="BK1042" s="46"/>
      <c r="BL1042" s="46">
        <v>16</v>
      </c>
    </row>
    <row r="1043" spans="1:15" ht="15" customHeight="1">
      <c r="A1043" s="10"/>
      <c r="D1043" s="32" t="s">
        <v>962</v>
      </c>
      <c r="G1043" s="32" t="s">
        <v>1218</v>
      </c>
      <c r="I1043" s="58">
        <v>455.00000000000006</v>
      </c>
      <c r="O1043" s="30"/>
    </row>
    <row r="1044" spans="1:64" ht="15" customHeight="1">
      <c r="A1044" s="52" t="s">
        <v>106</v>
      </c>
      <c r="B1044" s="43" t="s">
        <v>901</v>
      </c>
      <c r="C1044" s="43" t="s">
        <v>1361</v>
      </c>
      <c r="D1044" s="61" t="s">
        <v>393</v>
      </c>
      <c r="E1044" s="61"/>
      <c r="F1044" s="61"/>
      <c r="G1044" s="61"/>
      <c r="H1044" s="43" t="s">
        <v>1604</v>
      </c>
      <c r="I1044" s="46">
        <v>455</v>
      </c>
      <c r="J1044" s="46">
        <v>0</v>
      </c>
      <c r="K1044" s="46">
        <f>I1044*AO1044</f>
        <v>0</v>
      </c>
      <c r="L1044" s="46">
        <f>I1044*AP1044</f>
        <v>0</v>
      </c>
      <c r="M1044" s="46">
        <f>I1044*J1044</f>
        <v>0</v>
      </c>
      <c r="N1044" s="46">
        <v>0</v>
      </c>
      <c r="O1044" s="6" t="s">
        <v>1149</v>
      </c>
      <c r="Z1044" s="46">
        <f>IF(AQ1044="5",BJ1044,0)</f>
        <v>0</v>
      </c>
      <c r="AB1044" s="46">
        <f>IF(AQ1044="1",BH1044,0)</f>
        <v>0</v>
      </c>
      <c r="AC1044" s="46">
        <f>IF(AQ1044="1",BI1044,0)</f>
        <v>0</v>
      </c>
      <c r="AD1044" s="46">
        <f>IF(AQ1044="7",BH1044,0)</f>
        <v>0</v>
      </c>
      <c r="AE1044" s="46">
        <f>IF(AQ1044="7",BI1044,0)</f>
        <v>0</v>
      </c>
      <c r="AF1044" s="46">
        <f>IF(AQ1044="2",BH1044,0)</f>
        <v>0</v>
      </c>
      <c r="AG1044" s="46">
        <f>IF(AQ1044="2",BI1044,0)</f>
        <v>0</v>
      </c>
      <c r="AH1044" s="46">
        <f>IF(AQ1044="0",BJ1044,0)</f>
        <v>0</v>
      </c>
      <c r="AI1044" s="1" t="s">
        <v>901</v>
      </c>
      <c r="AJ1044" s="46">
        <f>IF(AN1044=0,M1044,0)</f>
        <v>0</v>
      </c>
      <c r="AK1044" s="46">
        <f>IF(AN1044=15,M1044,0)</f>
        <v>0</v>
      </c>
      <c r="AL1044" s="46">
        <f>IF(AN1044=21,M1044,0)</f>
        <v>0</v>
      </c>
      <c r="AN1044" s="46">
        <v>21</v>
      </c>
      <c r="AO1044" s="46">
        <f>J1044*0</f>
        <v>0</v>
      </c>
      <c r="AP1044" s="46">
        <f>J1044*(1-0)</f>
        <v>0</v>
      </c>
      <c r="AQ1044" s="42" t="s">
        <v>1648</v>
      </c>
      <c r="AV1044" s="46">
        <f>AW1044+AX1044</f>
        <v>0</v>
      </c>
      <c r="AW1044" s="46">
        <f>I1044*AO1044</f>
        <v>0</v>
      </c>
      <c r="AX1044" s="46">
        <f>I1044*AP1044</f>
        <v>0</v>
      </c>
      <c r="AY1044" s="42" t="s">
        <v>1541</v>
      </c>
      <c r="AZ1044" s="42" t="s">
        <v>872</v>
      </c>
      <c r="BA1044" s="1" t="s">
        <v>1790</v>
      </c>
      <c r="BC1044" s="46">
        <f>AW1044+AX1044</f>
        <v>0</v>
      </c>
      <c r="BD1044" s="46">
        <f>J1044/(100-BE1044)*100</f>
        <v>0</v>
      </c>
      <c r="BE1044" s="46">
        <v>0</v>
      </c>
      <c r="BF1044" s="46">
        <f>1044</f>
        <v>1044</v>
      </c>
      <c r="BH1044" s="46">
        <f>I1044*AO1044</f>
        <v>0</v>
      </c>
      <c r="BI1044" s="46">
        <f>I1044*AP1044</f>
        <v>0</v>
      </c>
      <c r="BJ1044" s="46">
        <f>I1044*J1044</f>
        <v>0</v>
      </c>
      <c r="BK1044" s="46"/>
      <c r="BL1044" s="46">
        <v>16</v>
      </c>
    </row>
    <row r="1045" spans="1:15" ht="15" customHeight="1">
      <c r="A1045" s="10"/>
      <c r="D1045" s="32" t="s">
        <v>962</v>
      </c>
      <c r="G1045" s="32" t="s">
        <v>870</v>
      </c>
      <c r="I1045" s="58">
        <v>455.00000000000006</v>
      </c>
      <c r="O1045" s="30"/>
    </row>
    <row r="1046" spans="1:47" ht="15" customHeight="1">
      <c r="A1046" s="3" t="s">
        <v>1163</v>
      </c>
      <c r="B1046" s="9" t="s">
        <v>901</v>
      </c>
      <c r="C1046" s="9" t="s">
        <v>1169</v>
      </c>
      <c r="D1046" s="64" t="s">
        <v>225</v>
      </c>
      <c r="E1046" s="64"/>
      <c r="F1046" s="64"/>
      <c r="G1046" s="64"/>
      <c r="H1046" s="41" t="s">
        <v>1537</v>
      </c>
      <c r="I1046" s="41" t="s">
        <v>1537</v>
      </c>
      <c r="J1046" s="41" t="s">
        <v>1537</v>
      </c>
      <c r="K1046" s="50">
        <f>SUM(K1047:K1047)</f>
        <v>0</v>
      </c>
      <c r="L1046" s="50">
        <f>SUM(L1047:L1047)</f>
        <v>0</v>
      </c>
      <c r="M1046" s="50">
        <f>SUM(M1047:M1047)</f>
        <v>0</v>
      </c>
      <c r="N1046" s="1" t="s">
        <v>1163</v>
      </c>
      <c r="O1046" s="45" t="s">
        <v>1163</v>
      </c>
      <c r="AI1046" s="1" t="s">
        <v>901</v>
      </c>
      <c r="AS1046" s="50">
        <f>SUM(AJ1047:AJ1047)</f>
        <v>0</v>
      </c>
      <c r="AT1046" s="50">
        <f>SUM(AK1047:AK1047)</f>
        <v>0</v>
      </c>
      <c r="AU1046" s="50">
        <f>SUM(AL1047:AL1047)</f>
        <v>0</v>
      </c>
    </row>
    <row r="1047" spans="1:64" ht="15" customHeight="1">
      <c r="A1047" s="52" t="s">
        <v>1666</v>
      </c>
      <c r="B1047" s="43" t="s">
        <v>901</v>
      </c>
      <c r="C1047" s="43" t="s">
        <v>539</v>
      </c>
      <c r="D1047" s="61" t="s">
        <v>1499</v>
      </c>
      <c r="E1047" s="61"/>
      <c r="F1047" s="61"/>
      <c r="G1047" s="61"/>
      <c r="H1047" s="43" t="s">
        <v>1604</v>
      </c>
      <c r="I1047" s="46">
        <v>227.5</v>
      </c>
      <c r="J1047" s="46">
        <v>0</v>
      </c>
      <c r="K1047" s="46">
        <f>I1047*AO1047</f>
        <v>0</v>
      </c>
      <c r="L1047" s="46">
        <f>I1047*AP1047</f>
        <v>0</v>
      </c>
      <c r="M1047" s="46">
        <f>I1047*J1047</f>
        <v>0</v>
      </c>
      <c r="N1047" s="46">
        <v>0</v>
      </c>
      <c r="O1047" s="6" t="s">
        <v>1149</v>
      </c>
      <c r="Z1047" s="46">
        <f>IF(AQ1047="5",BJ1047,0)</f>
        <v>0</v>
      </c>
      <c r="AB1047" s="46">
        <f>IF(AQ1047="1",BH1047,0)</f>
        <v>0</v>
      </c>
      <c r="AC1047" s="46">
        <f>IF(AQ1047="1",BI1047,0)</f>
        <v>0</v>
      </c>
      <c r="AD1047" s="46">
        <f>IF(AQ1047="7",BH1047,0)</f>
        <v>0</v>
      </c>
      <c r="AE1047" s="46">
        <f>IF(AQ1047="7",BI1047,0)</f>
        <v>0</v>
      </c>
      <c r="AF1047" s="46">
        <f>IF(AQ1047="2",BH1047,0)</f>
        <v>0</v>
      </c>
      <c r="AG1047" s="46">
        <f>IF(AQ1047="2",BI1047,0)</f>
        <v>0</v>
      </c>
      <c r="AH1047" s="46">
        <f>IF(AQ1047="0",BJ1047,0)</f>
        <v>0</v>
      </c>
      <c r="AI1047" s="1" t="s">
        <v>901</v>
      </c>
      <c r="AJ1047" s="46">
        <f>IF(AN1047=0,M1047,0)</f>
        <v>0</v>
      </c>
      <c r="AK1047" s="46">
        <f>IF(AN1047=15,M1047,0)</f>
        <v>0</v>
      </c>
      <c r="AL1047" s="46">
        <f>IF(AN1047=21,M1047,0)</f>
        <v>0</v>
      </c>
      <c r="AN1047" s="46">
        <v>21</v>
      </c>
      <c r="AO1047" s="46">
        <f>J1047*0</f>
        <v>0</v>
      </c>
      <c r="AP1047" s="46">
        <f>J1047*(1-0)</f>
        <v>0</v>
      </c>
      <c r="AQ1047" s="42" t="s">
        <v>1648</v>
      </c>
      <c r="AV1047" s="46">
        <f>AW1047+AX1047</f>
        <v>0</v>
      </c>
      <c r="AW1047" s="46">
        <f>I1047*AO1047</f>
        <v>0</v>
      </c>
      <c r="AX1047" s="46">
        <f>I1047*AP1047</f>
        <v>0</v>
      </c>
      <c r="AY1047" s="42" t="s">
        <v>319</v>
      </c>
      <c r="AZ1047" s="42" t="s">
        <v>872</v>
      </c>
      <c r="BA1047" s="1" t="s">
        <v>1790</v>
      </c>
      <c r="BC1047" s="46">
        <f>AW1047+AX1047</f>
        <v>0</v>
      </c>
      <c r="BD1047" s="46">
        <f>J1047/(100-BE1047)*100</f>
        <v>0</v>
      </c>
      <c r="BE1047" s="46">
        <v>0</v>
      </c>
      <c r="BF1047" s="46">
        <f>1047</f>
        <v>1047</v>
      </c>
      <c r="BH1047" s="46">
        <f>I1047*AO1047</f>
        <v>0</v>
      </c>
      <c r="BI1047" s="46">
        <f>I1047*AP1047</f>
        <v>0</v>
      </c>
      <c r="BJ1047" s="46">
        <f>I1047*J1047</f>
        <v>0</v>
      </c>
      <c r="BK1047" s="46"/>
      <c r="BL1047" s="46">
        <v>17</v>
      </c>
    </row>
    <row r="1048" spans="1:15" ht="15" customHeight="1">
      <c r="A1048" s="10"/>
      <c r="D1048" s="32" t="s">
        <v>140</v>
      </c>
      <c r="G1048" s="32" t="s">
        <v>816</v>
      </c>
      <c r="I1048" s="58">
        <v>227.50000000000003</v>
      </c>
      <c r="O1048" s="30"/>
    </row>
    <row r="1049" spans="1:47" ht="15" customHeight="1">
      <c r="A1049" s="3" t="s">
        <v>1163</v>
      </c>
      <c r="B1049" s="9" t="s">
        <v>901</v>
      </c>
      <c r="C1049" s="9" t="s">
        <v>76</v>
      </c>
      <c r="D1049" s="64" t="s">
        <v>124</v>
      </c>
      <c r="E1049" s="64"/>
      <c r="F1049" s="64"/>
      <c r="G1049" s="64"/>
      <c r="H1049" s="41" t="s">
        <v>1537</v>
      </c>
      <c r="I1049" s="41" t="s">
        <v>1537</v>
      </c>
      <c r="J1049" s="41" t="s">
        <v>1537</v>
      </c>
      <c r="K1049" s="50">
        <f>SUM(K1050:K1052)</f>
        <v>0</v>
      </c>
      <c r="L1049" s="50">
        <f>SUM(L1050:L1052)</f>
        <v>0</v>
      </c>
      <c r="M1049" s="50">
        <f>SUM(M1050:M1052)</f>
        <v>0</v>
      </c>
      <c r="N1049" s="1" t="s">
        <v>1163</v>
      </c>
      <c r="O1049" s="45" t="s">
        <v>1163</v>
      </c>
      <c r="AI1049" s="1" t="s">
        <v>901</v>
      </c>
      <c r="AS1049" s="50">
        <f>SUM(AJ1050:AJ1052)</f>
        <v>0</v>
      </c>
      <c r="AT1049" s="50">
        <f>SUM(AK1050:AK1052)</f>
        <v>0</v>
      </c>
      <c r="AU1049" s="50">
        <f>SUM(AL1050:AL1052)</f>
        <v>0</v>
      </c>
    </row>
    <row r="1050" spans="1:64" ht="15" customHeight="1">
      <c r="A1050" s="52" t="s">
        <v>543</v>
      </c>
      <c r="B1050" s="43" t="s">
        <v>901</v>
      </c>
      <c r="C1050" s="43" t="s">
        <v>446</v>
      </c>
      <c r="D1050" s="61" t="s">
        <v>239</v>
      </c>
      <c r="E1050" s="61"/>
      <c r="F1050" s="61"/>
      <c r="G1050" s="61"/>
      <c r="H1050" s="43" t="s">
        <v>392</v>
      </c>
      <c r="I1050" s="46">
        <v>8</v>
      </c>
      <c r="J1050" s="46">
        <v>0</v>
      </c>
      <c r="K1050" s="46">
        <f>I1050*AO1050</f>
        <v>0</v>
      </c>
      <c r="L1050" s="46">
        <f>I1050*AP1050</f>
        <v>0</v>
      </c>
      <c r="M1050" s="46">
        <f>I1050*J1050</f>
        <v>0</v>
      </c>
      <c r="N1050" s="46">
        <v>0</v>
      </c>
      <c r="O1050" s="6" t="s">
        <v>1149</v>
      </c>
      <c r="Z1050" s="46">
        <f>IF(AQ1050="5",BJ1050,0)</f>
        <v>0</v>
      </c>
      <c r="AB1050" s="46">
        <f>IF(AQ1050="1",BH1050,0)</f>
        <v>0</v>
      </c>
      <c r="AC1050" s="46">
        <f>IF(AQ1050="1",BI1050,0)</f>
        <v>0</v>
      </c>
      <c r="AD1050" s="46">
        <f>IF(AQ1050="7",BH1050,0)</f>
        <v>0</v>
      </c>
      <c r="AE1050" s="46">
        <f>IF(AQ1050="7",BI1050,0)</f>
        <v>0</v>
      </c>
      <c r="AF1050" s="46">
        <f>IF(AQ1050="2",BH1050,0)</f>
        <v>0</v>
      </c>
      <c r="AG1050" s="46">
        <f>IF(AQ1050="2",BI1050,0)</f>
        <v>0</v>
      </c>
      <c r="AH1050" s="46">
        <f>IF(AQ1050="0",BJ1050,0)</f>
        <v>0</v>
      </c>
      <c r="AI1050" s="1" t="s">
        <v>901</v>
      </c>
      <c r="AJ1050" s="46">
        <f>IF(AN1050=0,M1050,0)</f>
        <v>0</v>
      </c>
      <c r="AK1050" s="46">
        <f>IF(AN1050=15,M1050,0)</f>
        <v>0</v>
      </c>
      <c r="AL1050" s="46">
        <f>IF(AN1050=21,M1050,0)</f>
        <v>0</v>
      </c>
      <c r="AN1050" s="46">
        <v>21</v>
      </c>
      <c r="AO1050" s="46">
        <f>J1050*0</f>
        <v>0</v>
      </c>
      <c r="AP1050" s="46">
        <f>J1050*(1-0)</f>
        <v>0</v>
      </c>
      <c r="AQ1050" s="42" t="s">
        <v>1648</v>
      </c>
      <c r="AV1050" s="46">
        <f>AW1050+AX1050</f>
        <v>0</v>
      </c>
      <c r="AW1050" s="46">
        <f>I1050*AO1050</f>
        <v>0</v>
      </c>
      <c r="AX1050" s="46">
        <f>I1050*AP1050</f>
        <v>0</v>
      </c>
      <c r="AY1050" s="42" t="s">
        <v>109</v>
      </c>
      <c r="AZ1050" s="42" t="s">
        <v>1575</v>
      </c>
      <c r="BA1050" s="1" t="s">
        <v>1790</v>
      </c>
      <c r="BC1050" s="46">
        <f>AW1050+AX1050</f>
        <v>0</v>
      </c>
      <c r="BD1050" s="46">
        <f>J1050/(100-BE1050)*100</f>
        <v>0</v>
      </c>
      <c r="BE1050" s="46">
        <v>0</v>
      </c>
      <c r="BF1050" s="46">
        <f>1050</f>
        <v>1050</v>
      </c>
      <c r="BH1050" s="46">
        <f>I1050*AO1050</f>
        <v>0</v>
      </c>
      <c r="BI1050" s="46">
        <f>I1050*AP1050</f>
        <v>0</v>
      </c>
      <c r="BJ1050" s="46">
        <f>I1050*J1050</f>
        <v>0</v>
      </c>
      <c r="BK1050" s="46"/>
      <c r="BL1050" s="46">
        <v>87</v>
      </c>
    </row>
    <row r="1051" spans="1:15" ht="15" customHeight="1">
      <c r="A1051" s="10"/>
      <c r="D1051" s="32" t="s">
        <v>1584</v>
      </c>
      <c r="G1051" s="32" t="s">
        <v>1163</v>
      </c>
      <c r="I1051" s="58">
        <v>8</v>
      </c>
      <c r="O1051" s="30"/>
    </row>
    <row r="1052" spans="1:64" ht="15" customHeight="1">
      <c r="A1052" s="52" t="s">
        <v>235</v>
      </c>
      <c r="B1052" s="43" t="s">
        <v>901</v>
      </c>
      <c r="C1052" s="43" t="s">
        <v>696</v>
      </c>
      <c r="D1052" s="61" t="s">
        <v>42</v>
      </c>
      <c r="E1052" s="61"/>
      <c r="F1052" s="61"/>
      <c r="G1052" s="61"/>
      <c r="H1052" s="43" t="s">
        <v>392</v>
      </c>
      <c r="I1052" s="46">
        <v>4</v>
      </c>
      <c r="J1052" s="46">
        <v>0</v>
      </c>
      <c r="K1052" s="46">
        <f>I1052*AO1052</f>
        <v>0</v>
      </c>
      <c r="L1052" s="46">
        <f>I1052*AP1052</f>
        <v>0</v>
      </c>
      <c r="M1052" s="46">
        <f>I1052*J1052</f>
        <v>0</v>
      </c>
      <c r="N1052" s="46">
        <v>0.00073</v>
      </c>
      <c r="O1052" s="6" t="s">
        <v>1149</v>
      </c>
      <c r="Z1052" s="46">
        <f>IF(AQ1052="5",BJ1052,0)</f>
        <v>0</v>
      </c>
      <c r="AB1052" s="46">
        <f>IF(AQ1052="1",BH1052,0)</f>
        <v>0</v>
      </c>
      <c r="AC1052" s="46">
        <f>IF(AQ1052="1",BI1052,0)</f>
        <v>0</v>
      </c>
      <c r="AD1052" s="46">
        <f>IF(AQ1052="7",BH1052,0)</f>
        <v>0</v>
      </c>
      <c r="AE1052" s="46">
        <f>IF(AQ1052="7",BI1052,0)</f>
        <v>0</v>
      </c>
      <c r="AF1052" s="46">
        <f>IF(AQ1052="2",BH1052,0)</f>
        <v>0</v>
      </c>
      <c r="AG1052" s="46">
        <f>IF(AQ1052="2",BI1052,0)</f>
        <v>0</v>
      </c>
      <c r="AH1052" s="46">
        <f>IF(AQ1052="0",BJ1052,0)</f>
        <v>0</v>
      </c>
      <c r="AI1052" s="1" t="s">
        <v>901</v>
      </c>
      <c r="AJ1052" s="46">
        <f>IF(AN1052=0,M1052,0)</f>
        <v>0</v>
      </c>
      <c r="AK1052" s="46">
        <f>IF(AN1052=15,M1052,0)</f>
        <v>0</v>
      </c>
      <c r="AL1052" s="46">
        <f>IF(AN1052=21,M1052,0)</f>
        <v>0</v>
      </c>
      <c r="AN1052" s="46">
        <v>21</v>
      </c>
      <c r="AO1052" s="46">
        <f>J1052*1</f>
        <v>0</v>
      </c>
      <c r="AP1052" s="46">
        <f>J1052*(1-1)</f>
        <v>0</v>
      </c>
      <c r="AQ1052" s="42" t="s">
        <v>1648</v>
      </c>
      <c r="AV1052" s="46">
        <f>AW1052+AX1052</f>
        <v>0</v>
      </c>
      <c r="AW1052" s="46">
        <f>I1052*AO1052</f>
        <v>0</v>
      </c>
      <c r="AX1052" s="46">
        <f>I1052*AP1052</f>
        <v>0</v>
      </c>
      <c r="AY1052" s="42" t="s">
        <v>109</v>
      </c>
      <c r="AZ1052" s="42" t="s">
        <v>1575</v>
      </c>
      <c r="BA1052" s="1" t="s">
        <v>1790</v>
      </c>
      <c r="BC1052" s="46">
        <f>AW1052+AX1052</f>
        <v>0</v>
      </c>
      <c r="BD1052" s="46">
        <f>J1052/(100-BE1052)*100</f>
        <v>0</v>
      </c>
      <c r="BE1052" s="46">
        <v>0</v>
      </c>
      <c r="BF1052" s="46">
        <f>1052</f>
        <v>1052</v>
      </c>
      <c r="BH1052" s="46">
        <f>I1052*AO1052</f>
        <v>0</v>
      </c>
      <c r="BI1052" s="46">
        <f>I1052*AP1052</f>
        <v>0</v>
      </c>
      <c r="BJ1052" s="46">
        <f>I1052*J1052</f>
        <v>0</v>
      </c>
      <c r="BK1052" s="46"/>
      <c r="BL1052" s="46">
        <v>87</v>
      </c>
    </row>
    <row r="1053" spans="1:15" ht="15" customHeight="1">
      <c r="A1053" s="10"/>
      <c r="D1053" s="32" t="s">
        <v>242</v>
      </c>
      <c r="G1053" s="32" t="s">
        <v>1384</v>
      </c>
      <c r="I1053" s="58">
        <v>4</v>
      </c>
      <c r="O1053" s="30"/>
    </row>
    <row r="1054" spans="1:47" ht="15" customHeight="1">
      <c r="A1054" s="3" t="s">
        <v>1163</v>
      </c>
      <c r="B1054" s="9" t="s">
        <v>901</v>
      </c>
      <c r="C1054" s="9" t="s">
        <v>1754</v>
      </c>
      <c r="D1054" s="64" t="s">
        <v>1089</v>
      </c>
      <c r="E1054" s="64"/>
      <c r="F1054" s="64"/>
      <c r="G1054" s="64"/>
      <c r="H1054" s="41" t="s">
        <v>1537</v>
      </c>
      <c r="I1054" s="41" t="s">
        <v>1537</v>
      </c>
      <c r="J1054" s="41" t="s">
        <v>1537</v>
      </c>
      <c r="K1054" s="50">
        <f>SUM(K1055:K1058)</f>
        <v>0</v>
      </c>
      <c r="L1054" s="50">
        <f>SUM(L1055:L1058)</f>
        <v>0</v>
      </c>
      <c r="M1054" s="50">
        <f>SUM(M1055:M1058)</f>
        <v>0</v>
      </c>
      <c r="N1054" s="1" t="s">
        <v>1163</v>
      </c>
      <c r="O1054" s="45" t="s">
        <v>1163</v>
      </c>
      <c r="AI1054" s="1" t="s">
        <v>901</v>
      </c>
      <c r="AS1054" s="50">
        <f>SUM(AJ1055:AJ1058)</f>
        <v>0</v>
      </c>
      <c r="AT1054" s="50">
        <f>SUM(AK1055:AK1058)</f>
        <v>0</v>
      </c>
      <c r="AU1054" s="50">
        <f>SUM(AL1055:AL1058)</f>
        <v>0</v>
      </c>
    </row>
    <row r="1055" spans="1:64" ht="15" customHeight="1">
      <c r="A1055" s="52" t="s">
        <v>1681</v>
      </c>
      <c r="B1055" s="43" t="s">
        <v>901</v>
      </c>
      <c r="C1055" s="43" t="s">
        <v>1195</v>
      </c>
      <c r="D1055" s="61" t="s">
        <v>796</v>
      </c>
      <c r="E1055" s="61"/>
      <c r="F1055" s="61"/>
      <c r="G1055" s="61"/>
      <c r="H1055" s="43" t="s">
        <v>1365</v>
      </c>
      <c r="I1055" s="46">
        <v>695</v>
      </c>
      <c r="J1055" s="46">
        <v>0</v>
      </c>
      <c r="K1055" s="46">
        <f>I1055*AO1055</f>
        <v>0</v>
      </c>
      <c r="L1055" s="46">
        <f>I1055*AP1055</f>
        <v>0</v>
      </c>
      <c r="M1055" s="46">
        <f>I1055*J1055</f>
        <v>0</v>
      </c>
      <c r="N1055" s="46">
        <v>0</v>
      </c>
      <c r="O1055" s="6" t="s">
        <v>1149</v>
      </c>
      <c r="Z1055" s="46">
        <f>IF(AQ1055="5",BJ1055,0)</f>
        <v>0</v>
      </c>
      <c r="AB1055" s="46">
        <f>IF(AQ1055="1",BH1055,0)</f>
        <v>0</v>
      </c>
      <c r="AC1055" s="46">
        <f>IF(AQ1055="1",BI1055,0)</f>
        <v>0</v>
      </c>
      <c r="AD1055" s="46">
        <f>IF(AQ1055="7",BH1055,0)</f>
        <v>0</v>
      </c>
      <c r="AE1055" s="46">
        <f>IF(AQ1055="7",BI1055,0)</f>
        <v>0</v>
      </c>
      <c r="AF1055" s="46">
        <f>IF(AQ1055="2",BH1055,0)</f>
        <v>0</v>
      </c>
      <c r="AG1055" s="46">
        <f>IF(AQ1055="2",BI1055,0)</f>
        <v>0</v>
      </c>
      <c r="AH1055" s="46">
        <f>IF(AQ1055="0",BJ1055,0)</f>
        <v>0</v>
      </c>
      <c r="AI1055" s="1" t="s">
        <v>901</v>
      </c>
      <c r="AJ1055" s="46">
        <f>IF(AN1055=0,M1055,0)</f>
        <v>0</v>
      </c>
      <c r="AK1055" s="46">
        <f>IF(AN1055=15,M1055,0)</f>
        <v>0</v>
      </c>
      <c r="AL1055" s="46">
        <f>IF(AN1055=21,M1055,0)</f>
        <v>0</v>
      </c>
      <c r="AN1055" s="46">
        <v>21</v>
      </c>
      <c r="AO1055" s="46">
        <f>J1055*0.0056565170297268</f>
        <v>0</v>
      </c>
      <c r="AP1055" s="46">
        <f>J1055*(1-0.0056565170297268)</f>
        <v>0</v>
      </c>
      <c r="AQ1055" s="42" t="s">
        <v>1648</v>
      </c>
      <c r="AV1055" s="46">
        <f>AW1055+AX1055</f>
        <v>0</v>
      </c>
      <c r="AW1055" s="46">
        <f>I1055*AO1055</f>
        <v>0</v>
      </c>
      <c r="AX1055" s="46">
        <f>I1055*AP1055</f>
        <v>0</v>
      </c>
      <c r="AY1055" s="42" t="s">
        <v>132</v>
      </c>
      <c r="AZ1055" s="42" t="s">
        <v>1575</v>
      </c>
      <c r="BA1055" s="1" t="s">
        <v>1790</v>
      </c>
      <c r="BC1055" s="46">
        <f>AW1055+AX1055</f>
        <v>0</v>
      </c>
      <c r="BD1055" s="46">
        <f>J1055/(100-BE1055)*100</f>
        <v>0</v>
      </c>
      <c r="BE1055" s="46">
        <v>0</v>
      </c>
      <c r="BF1055" s="46">
        <f>1055</f>
        <v>1055</v>
      </c>
      <c r="BH1055" s="46">
        <f>I1055*AO1055</f>
        <v>0</v>
      </c>
      <c r="BI1055" s="46">
        <f>I1055*AP1055</f>
        <v>0</v>
      </c>
      <c r="BJ1055" s="46">
        <f>I1055*J1055</f>
        <v>0</v>
      </c>
      <c r="BK1055" s="46"/>
      <c r="BL1055" s="46">
        <v>89</v>
      </c>
    </row>
    <row r="1056" spans="1:15" ht="15" customHeight="1">
      <c r="A1056" s="10"/>
      <c r="D1056" s="32" t="s">
        <v>64</v>
      </c>
      <c r="G1056" s="32" t="s">
        <v>204</v>
      </c>
      <c r="I1056" s="58">
        <v>460.00000000000006</v>
      </c>
      <c r="O1056" s="30"/>
    </row>
    <row r="1057" spans="1:15" ht="15" customHeight="1">
      <c r="A1057" s="10"/>
      <c r="D1057" s="32" t="s">
        <v>1215</v>
      </c>
      <c r="G1057" s="32" t="s">
        <v>581</v>
      </c>
      <c r="I1057" s="58">
        <v>235.00000000000003</v>
      </c>
      <c r="O1057" s="30"/>
    </row>
    <row r="1058" spans="1:64" ht="15" customHeight="1">
      <c r="A1058" s="52" t="s">
        <v>1124</v>
      </c>
      <c r="B1058" s="43" t="s">
        <v>901</v>
      </c>
      <c r="C1058" s="43" t="s">
        <v>1546</v>
      </c>
      <c r="D1058" s="61" t="s">
        <v>317</v>
      </c>
      <c r="E1058" s="61"/>
      <c r="F1058" s="61"/>
      <c r="G1058" s="61"/>
      <c r="H1058" s="43" t="s">
        <v>1365</v>
      </c>
      <c r="I1058" s="46">
        <v>695</v>
      </c>
      <c r="J1058" s="46">
        <v>0</v>
      </c>
      <c r="K1058" s="46">
        <f>I1058*AO1058</f>
        <v>0</v>
      </c>
      <c r="L1058" s="46">
        <f>I1058*AP1058</f>
        <v>0</v>
      </c>
      <c r="M1058" s="46">
        <f>I1058*J1058</f>
        <v>0</v>
      </c>
      <c r="N1058" s="46">
        <v>0</v>
      </c>
      <c r="O1058" s="6" t="s">
        <v>1149</v>
      </c>
      <c r="Z1058" s="46">
        <f>IF(AQ1058="5",BJ1058,0)</f>
        <v>0</v>
      </c>
      <c r="AB1058" s="46">
        <f>IF(AQ1058="1",BH1058,0)</f>
        <v>0</v>
      </c>
      <c r="AC1058" s="46">
        <f>IF(AQ1058="1",BI1058,0)</f>
        <v>0</v>
      </c>
      <c r="AD1058" s="46">
        <f>IF(AQ1058="7",BH1058,0)</f>
        <v>0</v>
      </c>
      <c r="AE1058" s="46">
        <f>IF(AQ1058="7",BI1058,0)</f>
        <v>0</v>
      </c>
      <c r="AF1058" s="46">
        <f>IF(AQ1058="2",BH1058,0)</f>
        <v>0</v>
      </c>
      <c r="AG1058" s="46">
        <f>IF(AQ1058="2",BI1058,0)</f>
        <v>0</v>
      </c>
      <c r="AH1058" s="46">
        <f>IF(AQ1058="0",BJ1058,0)</f>
        <v>0</v>
      </c>
      <c r="AI1058" s="1" t="s">
        <v>901</v>
      </c>
      <c r="AJ1058" s="46">
        <f>IF(AN1058=0,M1058,0)</f>
        <v>0</v>
      </c>
      <c r="AK1058" s="46">
        <f>IF(AN1058=15,M1058,0)</f>
        <v>0</v>
      </c>
      <c r="AL1058" s="46">
        <f>IF(AN1058=21,M1058,0)</f>
        <v>0</v>
      </c>
      <c r="AN1058" s="46">
        <v>21</v>
      </c>
      <c r="AO1058" s="46">
        <f>J1058*0.0239934932899553</f>
        <v>0</v>
      </c>
      <c r="AP1058" s="46">
        <f>J1058*(1-0.0239934932899553)</f>
        <v>0</v>
      </c>
      <c r="AQ1058" s="42" t="s">
        <v>1648</v>
      </c>
      <c r="AV1058" s="46">
        <f>AW1058+AX1058</f>
        <v>0</v>
      </c>
      <c r="AW1058" s="46">
        <f>I1058*AO1058</f>
        <v>0</v>
      </c>
      <c r="AX1058" s="46">
        <f>I1058*AP1058</f>
        <v>0</v>
      </c>
      <c r="AY1058" s="42" t="s">
        <v>132</v>
      </c>
      <c r="AZ1058" s="42" t="s">
        <v>1575</v>
      </c>
      <c r="BA1058" s="1" t="s">
        <v>1790</v>
      </c>
      <c r="BC1058" s="46">
        <f>AW1058+AX1058</f>
        <v>0</v>
      </c>
      <c r="BD1058" s="46">
        <f>J1058/(100-BE1058)*100</f>
        <v>0</v>
      </c>
      <c r="BE1058" s="46">
        <v>0</v>
      </c>
      <c r="BF1058" s="46">
        <f>1058</f>
        <v>1058</v>
      </c>
      <c r="BH1058" s="46">
        <f>I1058*AO1058</f>
        <v>0</v>
      </c>
      <c r="BI1058" s="46">
        <f>I1058*AP1058</f>
        <v>0</v>
      </c>
      <c r="BJ1058" s="46">
        <f>I1058*J1058</f>
        <v>0</v>
      </c>
      <c r="BK1058" s="46"/>
      <c r="BL1058" s="46">
        <v>89</v>
      </c>
    </row>
    <row r="1059" spans="1:15" ht="15" customHeight="1">
      <c r="A1059" s="10"/>
      <c r="D1059" s="32" t="s">
        <v>64</v>
      </c>
      <c r="G1059" s="32" t="s">
        <v>1350</v>
      </c>
      <c r="I1059" s="58">
        <v>460.00000000000006</v>
      </c>
      <c r="O1059" s="30"/>
    </row>
    <row r="1060" spans="1:15" ht="15" customHeight="1">
      <c r="A1060" s="10"/>
      <c r="D1060" s="32" t="s">
        <v>1215</v>
      </c>
      <c r="G1060" s="32" t="s">
        <v>581</v>
      </c>
      <c r="I1060" s="58">
        <v>235.00000000000003</v>
      </c>
      <c r="O1060" s="30"/>
    </row>
    <row r="1061" spans="1:47" ht="15" customHeight="1">
      <c r="A1061" s="3" t="s">
        <v>1163</v>
      </c>
      <c r="B1061" s="9" t="s">
        <v>901</v>
      </c>
      <c r="C1061" s="9" t="s">
        <v>1751</v>
      </c>
      <c r="D1061" s="64" t="s">
        <v>1229</v>
      </c>
      <c r="E1061" s="64"/>
      <c r="F1061" s="64"/>
      <c r="G1061" s="64"/>
      <c r="H1061" s="41" t="s">
        <v>1537</v>
      </c>
      <c r="I1061" s="41" t="s">
        <v>1537</v>
      </c>
      <c r="J1061" s="41" t="s">
        <v>1537</v>
      </c>
      <c r="K1061" s="50">
        <f>SUM(K1062:K1085)</f>
        <v>0</v>
      </c>
      <c r="L1061" s="50">
        <f>SUM(L1062:L1085)</f>
        <v>0</v>
      </c>
      <c r="M1061" s="50">
        <f>SUM(M1062:M1085)</f>
        <v>0</v>
      </c>
      <c r="N1061" s="1" t="s">
        <v>1163</v>
      </c>
      <c r="O1061" s="45" t="s">
        <v>1163</v>
      </c>
      <c r="AI1061" s="1" t="s">
        <v>901</v>
      </c>
      <c r="AS1061" s="50">
        <f>SUM(AJ1062:AJ1085)</f>
        <v>0</v>
      </c>
      <c r="AT1061" s="50">
        <f>SUM(AK1062:AK1085)</f>
        <v>0</v>
      </c>
      <c r="AU1061" s="50">
        <f>SUM(AL1062:AL1085)</f>
        <v>0</v>
      </c>
    </row>
    <row r="1062" spans="1:64" ht="15" customHeight="1">
      <c r="A1062" s="52" t="s">
        <v>976</v>
      </c>
      <c r="B1062" s="43" t="s">
        <v>901</v>
      </c>
      <c r="C1062" s="43" t="s">
        <v>797</v>
      </c>
      <c r="D1062" s="61" t="s">
        <v>302</v>
      </c>
      <c r="E1062" s="61"/>
      <c r="F1062" s="61"/>
      <c r="G1062" s="61"/>
      <c r="H1062" s="43" t="s">
        <v>1365</v>
      </c>
      <c r="I1062" s="46">
        <v>695</v>
      </c>
      <c r="J1062" s="46">
        <v>0</v>
      </c>
      <c r="K1062" s="46">
        <f>I1062*AO1062</f>
        <v>0</v>
      </c>
      <c r="L1062" s="46">
        <f>I1062*AP1062</f>
        <v>0</v>
      </c>
      <c r="M1062" s="46">
        <f>I1062*J1062</f>
        <v>0</v>
      </c>
      <c r="N1062" s="46">
        <v>0</v>
      </c>
      <c r="O1062" s="6" t="s">
        <v>1149</v>
      </c>
      <c r="Z1062" s="46">
        <f>IF(AQ1062="5",BJ1062,0)</f>
        <v>0</v>
      </c>
      <c r="AB1062" s="46">
        <f>IF(AQ1062="1",BH1062,0)</f>
        <v>0</v>
      </c>
      <c r="AC1062" s="46">
        <f>IF(AQ1062="1",BI1062,0)</f>
        <v>0</v>
      </c>
      <c r="AD1062" s="46">
        <f>IF(AQ1062="7",BH1062,0)</f>
        <v>0</v>
      </c>
      <c r="AE1062" s="46">
        <f>IF(AQ1062="7",BI1062,0)</f>
        <v>0</v>
      </c>
      <c r="AF1062" s="46">
        <f>IF(AQ1062="2",BH1062,0)</f>
        <v>0</v>
      </c>
      <c r="AG1062" s="46">
        <f>IF(AQ1062="2",BI1062,0)</f>
        <v>0</v>
      </c>
      <c r="AH1062" s="46">
        <f>IF(AQ1062="0",BJ1062,0)</f>
        <v>0</v>
      </c>
      <c r="AI1062" s="1" t="s">
        <v>901</v>
      </c>
      <c r="AJ1062" s="46">
        <f>IF(AN1062=0,M1062,0)</f>
        <v>0</v>
      </c>
      <c r="AK1062" s="46">
        <f>IF(AN1062=15,M1062,0)</f>
        <v>0</v>
      </c>
      <c r="AL1062" s="46">
        <f>IF(AN1062=21,M1062,0)</f>
        <v>0</v>
      </c>
      <c r="AN1062" s="46">
        <v>21</v>
      </c>
      <c r="AO1062" s="46">
        <f>J1062*0</f>
        <v>0</v>
      </c>
      <c r="AP1062" s="46">
        <f>J1062*(1-0)</f>
        <v>0</v>
      </c>
      <c r="AQ1062" s="42" t="s">
        <v>1157</v>
      </c>
      <c r="AV1062" s="46">
        <f>AW1062+AX1062</f>
        <v>0</v>
      </c>
      <c r="AW1062" s="46">
        <f>I1062*AO1062</f>
        <v>0</v>
      </c>
      <c r="AX1062" s="46">
        <f>I1062*AP1062</f>
        <v>0</v>
      </c>
      <c r="AY1062" s="42" t="s">
        <v>1538</v>
      </c>
      <c r="AZ1062" s="42" t="s">
        <v>1491</v>
      </c>
      <c r="BA1062" s="1" t="s">
        <v>1790</v>
      </c>
      <c r="BC1062" s="46">
        <f>AW1062+AX1062</f>
        <v>0</v>
      </c>
      <c r="BD1062" s="46">
        <f>J1062/(100-BE1062)*100</f>
        <v>0</v>
      </c>
      <c r="BE1062" s="46">
        <v>0</v>
      </c>
      <c r="BF1062" s="46">
        <f>1062</f>
        <v>1062</v>
      </c>
      <c r="BH1062" s="46">
        <f>I1062*AO1062</f>
        <v>0</v>
      </c>
      <c r="BI1062" s="46">
        <f>I1062*AP1062</f>
        <v>0</v>
      </c>
      <c r="BJ1062" s="46">
        <f>I1062*J1062</f>
        <v>0</v>
      </c>
      <c r="BK1062" s="46"/>
      <c r="BL1062" s="46"/>
    </row>
    <row r="1063" spans="1:15" ht="15" customHeight="1">
      <c r="A1063" s="10"/>
      <c r="D1063" s="32" t="s">
        <v>64</v>
      </c>
      <c r="G1063" s="32" t="s">
        <v>331</v>
      </c>
      <c r="I1063" s="58">
        <v>460.00000000000006</v>
      </c>
      <c r="O1063" s="30"/>
    </row>
    <row r="1064" spans="1:15" ht="15" customHeight="1">
      <c r="A1064" s="10"/>
      <c r="D1064" s="32" t="s">
        <v>1215</v>
      </c>
      <c r="G1064" s="32" t="s">
        <v>850</v>
      </c>
      <c r="I1064" s="58">
        <v>235.00000000000003</v>
      </c>
      <c r="O1064" s="30"/>
    </row>
    <row r="1065" spans="1:64" ht="15" customHeight="1">
      <c r="A1065" s="52" t="s">
        <v>939</v>
      </c>
      <c r="B1065" s="43" t="s">
        <v>901</v>
      </c>
      <c r="C1065" s="43" t="s">
        <v>662</v>
      </c>
      <c r="D1065" s="61" t="s">
        <v>691</v>
      </c>
      <c r="E1065" s="61"/>
      <c r="F1065" s="61"/>
      <c r="G1065" s="61"/>
      <c r="H1065" s="43" t="s">
        <v>1365</v>
      </c>
      <c r="I1065" s="46">
        <v>260</v>
      </c>
      <c r="J1065" s="46">
        <v>0</v>
      </c>
      <c r="K1065" s="46">
        <f>I1065*AO1065</f>
        <v>0</v>
      </c>
      <c r="L1065" s="46">
        <f>I1065*AP1065</f>
        <v>0</v>
      </c>
      <c r="M1065" s="46">
        <f>I1065*J1065</f>
        <v>0</v>
      </c>
      <c r="N1065" s="46">
        <v>0.00072</v>
      </c>
      <c r="O1065" s="6" t="s">
        <v>1149</v>
      </c>
      <c r="Z1065" s="46">
        <f>IF(AQ1065="5",BJ1065,0)</f>
        <v>0</v>
      </c>
      <c r="AB1065" s="46">
        <f>IF(AQ1065="1",BH1065,0)</f>
        <v>0</v>
      </c>
      <c r="AC1065" s="46">
        <f>IF(AQ1065="1",BI1065,0)</f>
        <v>0</v>
      </c>
      <c r="AD1065" s="46">
        <f>IF(AQ1065="7",BH1065,0)</f>
        <v>0</v>
      </c>
      <c r="AE1065" s="46">
        <f>IF(AQ1065="7",BI1065,0)</f>
        <v>0</v>
      </c>
      <c r="AF1065" s="46">
        <f>IF(AQ1065="2",BH1065,0)</f>
        <v>0</v>
      </c>
      <c r="AG1065" s="46">
        <f>IF(AQ1065="2",BI1065,0)</f>
        <v>0</v>
      </c>
      <c r="AH1065" s="46">
        <f>IF(AQ1065="0",BJ1065,0)</f>
        <v>0</v>
      </c>
      <c r="AI1065" s="1" t="s">
        <v>901</v>
      </c>
      <c r="AJ1065" s="46">
        <f>IF(AN1065=0,M1065,0)</f>
        <v>0</v>
      </c>
      <c r="AK1065" s="46">
        <f>IF(AN1065=15,M1065,0)</f>
        <v>0</v>
      </c>
      <c r="AL1065" s="46">
        <f>IF(AN1065=21,M1065,0)</f>
        <v>0</v>
      </c>
      <c r="AN1065" s="46">
        <v>21</v>
      </c>
      <c r="AO1065" s="46">
        <f>J1065*1</f>
        <v>0</v>
      </c>
      <c r="AP1065" s="46">
        <f>J1065*(1-1)</f>
        <v>0</v>
      </c>
      <c r="AQ1065" s="42" t="s">
        <v>1648</v>
      </c>
      <c r="AV1065" s="46">
        <f>AW1065+AX1065</f>
        <v>0</v>
      </c>
      <c r="AW1065" s="46">
        <f>I1065*AO1065</f>
        <v>0</v>
      </c>
      <c r="AX1065" s="46">
        <f>I1065*AP1065</f>
        <v>0</v>
      </c>
      <c r="AY1065" s="42" t="s">
        <v>1538</v>
      </c>
      <c r="AZ1065" s="42" t="s">
        <v>1491</v>
      </c>
      <c r="BA1065" s="1" t="s">
        <v>1790</v>
      </c>
      <c r="BC1065" s="46">
        <f>AW1065+AX1065</f>
        <v>0</v>
      </c>
      <c r="BD1065" s="46">
        <f>J1065/(100-BE1065)*100</f>
        <v>0</v>
      </c>
      <c r="BE1065" s="46">
        <v>0</v>
      </c>
      <c r="BF1065" s="46">
        <f>1065</f>
        <v>1065</v>
      </c>
      <c r="BH1065" s="46">
        <f>I1065*AO1065</f>
        <v>0</v>
      </c>
      <c r="BI1065" s="46">
        <f>I1065*AP1065</f>
        <v>0</v>
      </c>
      <c r="BJ1065" s="46">
        <f>I1065*J1065</f>
        <v>0</v>
      </c>
      <c r="BK1065" s="46"/>
      <c r="BL1065" s="46"/>
    </row>
    <row r="1066" spans="1:15" ht="15" customHeight="1">
      <c r="A1066" s="10"/>
      <c r="D1066" s="32" t="s">
        <v>674</v>
      </c>
      <c r="G1066" s="32" t="s">
        <v>937</v>
      </c>
      <c r="I1066" s="58">
        <v>260</v>
      </c>
      <c r="O1066" s="30"/>
    </row>
    <row r="1067" spans="1:64" ht="15" customHeight="1">
      <c r="A1067" s="52" t="s">
        <v>189</v>
      </c>
      <c r="B1067" s="43" t="s">
        <v>901</v>
      </c>
      <c r="C1067" s="43" t="s">
        <v>544</v>
      </c>
      <c r="D1067" s="61" t="s">
        <v>219</v>
      </c>
      <c r="E1067" s="61"/>
      <c r="F1067" s="61"/>
      <c r="G1067" s="61"/>
      <c r="H1067" s="43" t="s">
        <v>1365</v>
      </c>
      <c r="I1067" s="46">
        <v>175</v>
      </c>
      <c r="J1067" s="46">
        <v>0</v>
      </c>
      <c r="K1067" s="46">
        <f>I1067*AO1067</f>
        <v>0</v>
      </c>
      <c r="L1067" s="46">
        <f>I1067*AP1067</f>
        <v>0</v>
      </c>
      <c r="M1067" s="46">
        <f>I1067*J1067</f>
        <v>0</v>
      </c>
      <c r="N1067" s="46">
        <v>0.00027</v>
      </c>
      <c r="O1067" s="6" t="s">
        <v>1149</v>
      </c>
      <c r="Z1067" s="46">
        <f>IF(AQ1067="5",BJ1067,0)</f>
        <v>0</v>
      </c>
      <c r="AB1067" s="46">
        <f>IF(AQ1067="1",BH1067,0)</f>
        <v>0</v>
      </c>
      <c r="AC1067" s="46">
        <f>IF(AQ1067="1",BI1067,0)</f>
        <v>0</v>
      </c>
      <c r="AD1067" s="46">
        <f>IF(AQ1067="7",BH1067,0)</f>
        <v>0</v>
      </c>
      <c r="AE1067" s="46">
        <f>IF(AQ1067="7",BI1067,0)</f>
        <v>0</v>
      </c>
      <c r="AF1067" s="46">
        <f>IF(AQ1067="2",BH1067,0)</f>
        <v>0</v>
      </c>
      <c r="AG1067" s="46">
        <f>IF(AQ1067="2",BI1067,0)</f>
        <v>0</v>
      </c>
      <c r="AH1067" s="46">
        <f>IF(AQ1067="0",BJ1067,0)</f>
        <v>0</v>
      </c>
      <c r="AI1067" s="1" t="s">
        <v>901</v>
      </c>
      <c r="AJ1067" s="46">
        <f>IF(AN1067=0,M1067,0)</f>
        <v>0</v>
      </c>
      <c r="AK1067" s="46">
        <f>IF(AN1067=15,M1067,0)</f>
        <v>0</v>
      </c>
      <c r="AL1067" s="46">
        <f>IF(AN1067=21,M1067,0)</f>
        <v>0</v>
      </c>
      <c r="AN1067" s="46">
        <v>21</v>
      </c>
      <c r="AO1067" s="46">
        <f>J1067*1</f>
        <v>0</v>
      </c>
      <c r="AP1067" s="46">
        <f>J1067*(1-1)</f>
        <v>0</v>
      </c>
      <c r="AQ1067" s="42" t="s">
        <v>1648</v>
      </c>
      <c r="AV1067" s="46">
        <f>AW1067+AX1067</f>
        <v>0</v>
      </c>
      <c r="AW1067" s="46">
        <f>I1067*AO1067</f>
        <v>0</v>
      </c>
      <c r="AX1067" s="46">
        <f>I1067*AP1067</f>
        <v>0</v>
      </c>
      <c r="AY1067" s="42" t="s">
        <v>1538</v>
      </c>
      <c r="AZ1067" s="42" t="s">
        <v>1491</v>
      </c>
      <c r="BA1067" s="1" t="s">
        <v>1790</v>
      </c>
      <c r="BC1067" s="46">
        <f>AW1067+AX1067</f>
        <v>0</v>
      </c>
      <c r="BD1067" s="46">
        <f>J1067/(100-BE1067)*100</f>
        <v>0</v>
      </c>
      <c r="BE1067" s="46">
        <v>0</v>
      </c>
      <c r="BF1067" s="46">
        <f>1067</f>
        <v>1067</v>
      </c>
      <c r="BH1067" s="46">
        <f>I1067*AO1067</f>
        <v>0</v>
      </c>
      <c r="BI1067" s="46">
        <f>I1067*AP1067</f>
        <v>0</v>
      </c>
      <c r="BJ1067" s="46">
        <f>I1067*J1067</f>
        <v>0</v>
      </c>
      <c r="BK1067" s="46"/>
      <c r="BL1067" s="46"/>
    </row>
    <row r="1068" spans="1:15" ht="15" customHeight="1">
      <c r="A1068" s="10"/>
      <c r="D1068" s="32" t="s">
        <v>600</v>
      </c>
      <c r="G1068" s="32" t="s">
        <v>509</v>
      </c>
      <c r="I1068" s="58">
        <v>175.00000000000003</v>
      </c>
      <c r="O1068" s="30"/>
    </row>
    <row r="1069" spans="1:64" ht="15" customHeight="1">
      <c r="A1069" s="52" t="s">
        <v>1855</v>
      </c>
      <c r="B1069" s="43" t="s">
        <v>901</v>
      </c>
      <c r="C1069" s="43" t="s">
        <v>380</v>
      </c>
      <c r="D1069" s="61" t="s">
        <v>1011</v>
      </c>
      <c r="E1069" s="61"/>
      <c r="F1069" s="61"/>
      <c r="G1069" s="61"/>
      <c r="H1069" s="43" t="s">
        <v>1365</v>
      </c>
      <c r="I1069" s="46">
        <v>460</v>
      </c>
      <c r="J1069" s="46">
        <v>0</v>
      </c>
      <c r="K1069" s="46">
        <f>I1069*AO1069</f>
        <v>0</v>
      </c>
      <c r="L1069" s="46">
        <f>I1069*AP1069</f>
        <v>0</v>
      </c>
      <c r="M1069" s="46">
        <f>I1069*J1069</f>
        <v>0</v>
      </c>
      <c r="N1069" s="46">
        <v>0</v>
      </c>
      <c r="O1069" s="6" t="s">
        <v>1149</v>
      </c>
      <c r="Z1069" s="46">
        <f>IF(AQ1069="5",BJ1069,0)</f>
        <v>0</v>
      </c>
      <c r="AB1069" s="46">
        <f>IF(AQ1069="1",BH1069,0)</f>
        <v>0</v>
      </c>
      <c r="AC1069" s="46">
        <f>IF(AQ1069="1",BI1069,0)</f>
        <v>0</v>
      </c>
      <c r="AD1069" s="46">
        <f>IF(AQ1069="7",BH1069,0)</f>
        <v>0</v>
      </c>
      <c r="AE1069" s="46">
        <f>IF(AQ1069="7",BI1069,0)</f>
        <v>0</v>
      </c>
      <c r="AF1069" s="46">
        <f>IF(AQ1069="2",BH1069,0)</f>
        <v>0</v>
      </c>
      <c r="AG1069" s="46">
        <f>IF(AQ1069="2",BI1069,0)</f>
        <v>0</v>
      </c>
      <c r="AH1069" s="46">
        <f>IF(AQ1069="0",BJ1069,0)</f>
        <v>0</v>
      </c>
      <c r="AI1069" s="1" t="s">
        <v>901</v>
      </c>
      <c r="AJ1069" s="46">
        <f>IF(AN1069=0,M1069,0)</f>
        <v>0</v>
      </c>
      <c r="AK1069" s="46">
        <f>IF(AN1069=15,M1069,0)</f>
        <v>0</v>
      </c>
      <c r="AL1069" s="46">
        <f>IF(AN1069=21,M1069,0)</f>
        <v>0</v>
      </c>
      <c r="AN1069" s="46">
        <v>21</v>
      </c>
      <c r="AO1069" s="46">
        <f>J1069*0</f>
        <v>0</v>
      </c>
      <c r="AP1069" s="46">
        <f>J1069*(1-0)</f>
        <v>0</v>
      </c>
      <c r="AQ1069" s="42" t="s">
        <v>1648</v>
      </c>
      <c r="AV1069" s="46">
        <f>AW1069+AX1069</f>
        <v>0</v>
      </c>
      <c r="AW1069" s="46">
        <f>I1069*AO1069</f>
        <v>0</v>
      </c>
      <c r="AX1069" s="46">
        <f>I1069*AP1069</f>
        <v>0</v>
      </c>
      <c r="AY1069" s="42" t="s">
        <v>1538</v>
      </c>
      <c r="AZ1069" s="42" t="s">
        <v>1491</v>
      </c>
      <c r="BA1069" s="1" t="s">
        <v>1790</v>
      </c>
      <c r="BC1069" s="46">
        <f>AW1069+AX1069</f>
        <v>0</v>
      </c>
      <c r="BD1069" s="46">
        <f>J1069/(100-BE1069)*100</f>
        <v>0</v>
      </c>
      <c r="BE1069" s="46">
        <v>0</v>
      </c>
      <c r="BF1069" s="46">
        <f>1069</f>
        <v>1069</v>
      </c>
      <c r="BH1069" s="46">
        <f>I1069*AO1069</f>
        <v>0</v>
      </c>
      <c r="BI1069" s="46">
        <f>I1069*AP1069</f>
        <v>0</v>
      </c>
      <c r="BJ1069" s="46">
        <f>I1069*J1069</f>
        <v>0</v>
      </c>
      <c r="BK1069" s="46"/>
      <c r="BL1069" s="46"/>
    </row>
    <row r="1070" spans="1:15" ht="15" customHeight="1">
      <c r="A1070" s="10"/>
      <c r="D1070" s="32" t="s">
        <v>64</v>
      </c>
      <c r="G1070" s="32" t="s">
        <v>1163</v>
      </c>
      <c r="I1070" s="58">
        <v>460.00000000000006</v>
      </c>
      <c r="O1070" s="30"/>
    </row>
    <row r="1071" spans="1:64" ht="15" customHeight="1">
      <c r="A1071" s="52" t="s">
        <v>1256</v>
      </c>
      <c r="B1071" s="43" t="s">
        <v>901</v>
      </c>
      <c r="C1071" s="43" t="s">
        <v>866</v>
      </c>
      <c r="D1071" s="61" t="s">
        <v>1173</v>
      </c>
      <c r="E1071" s="61"/>
      <c r="F1071" s="61"/>
      <c r="G1071" s="61"/>
      <c r="H1071" s="43" t="s">
        <v>392</v>
      </c>
      <c r="I1071" s="46">
        <v>118</v>
      </c>
      <c r="J1071" s="46">
        <v>0</v>
      </c>
      <c r="K1071" s="46">
        <f>I1071*AO1071</f>
        <v>0</v>
      </c>
      <c r="L1071" s="46">
        <f>I1071*AP1071</f>
        <v>0</v>
      </c>
      <c r="M1071" s="46">
        <f>I1071*J1071</f>
        <v>0</v>
      </c>
      <c r="N1071" s="46">
        <v>0</v>
      </c>
      <c r="O1071" s="6" t="s">
        <v>1149</v>
      </c>
      <c r="Z1071" s="46">
        <f>IF(AQ1071="5",BJ1071,0)</f>
        <v>0</v>
      </c>
      <c r="AB1071" s="46">
        <f>IF(AQ1071="1",BH1071,0)</f>
        <v>0</v>
      </c>
      <c r="AC1071" s="46">
        <f>IF(AQ1071="1",BI1071,0)</f>
        <v>0</v>
      </c>
      <c r="AD1071" s="46">
        <f>IF(AQ1071="7",BH1071,0)</f>
        <v>0</v>
      </c>
      <c r="AE1071" s="46">
        <f>IF(AQ1071="7",BI1071,0)</f>
        <v>0</v>
      </c>
      <c r="AF1071" s="46">
        <f>IF(AQ1071="2",BH1071,0)</f>
        <v>0</v>
      </c>
      <c r="AG1071" s="46">
        <f>IF(AQ1071="2",BI1071,0)</f>
        <v>0</v>
      </c>
      <c r="AH1071" s="46">
        <f>IF(AQ1071="0",BJ1071,0)</f>
        <v>0</v>
      </c>
      <c r="AI1071" s="1" t="s">
        <v>901</v>
      </c>
      <c r="AJ1071" s="46">
        <f>IF(AN1071=0,M1071,0)</f>
        <v>0</v>
      </c>
      <c r="AK1071" s="46">
        <f>IF(AN1071=15,M1071,0)</f>
        <v>0</v>
      </c>
      <c r="AL1071" s="46">
        <f>IF(AN1071=21,M1071,0)</f>
        <v>0</v>
      </c>
      <c r="AN1071" s="46">
        <v>21</v>
      </c>
      <c r="AO1071" s="46">
        <f>J1071*0</f>
        <v>0</v>
      </c>
      <c r="AP1071" s="46">
        <f>J1071*(1-0)</f>
        <v>0</v>
      </c>
      <c r="AQ1071" s="42" t="s">
        <v>1157</v>
      </c>
      <c r="AV1071" s="46">
        <f>AW1071+AX1071</f>
        <v>0</v>
      </c>
      <c r="AW1071" s="46">
        <f>I1071*AO1071</f>
        <v>0</v>
      </c>
      <c r="AX1071" s="46">
        <f>I1071*AP1071</f>
        <v>0</v>
      </c>
      <c r="AY1071" s="42" t="s">
        <v>1538</v>
      </c>
      <c r="AZ1071" s="42" t="s">
        <v>1491</v>
      </c>
      <c r="BA1071" s="1" t="s">
        <v>1790</v>
      </c>
      <c r="BC1071" s="46">
        <f>AW1071+AX1071</f>
        <v>0</v>
      </c>
      <c r="BD1071" s="46">
        <f>J1071/(100-BE1071)*100</f>
        <v>0</v>
      </c>
      <c r="BE1071" s="46">
        <v>0</v>
      </c>
      <c r="BF1071" s="46">
        <f>1071</f>
        <v>1071</v>
      </c>
      <c r="BH1071" s="46">
        <f>I1071*AO1071</f>
        <v>0</v>
      </c>
      <c r="BI1071" s="46">
        <f>I1071*AP1071</f>
        <v>0</v>
      </c>
      <c r="BJ1071" s="46">
        <f>I1071*J1071</f>
        <v>0</v>
      </c>
      <c r="BK1071" s="46"/>
      <c r="BL1071" s="46"/>
    </row>
    <row r="1072" spans="1:15" ht="15" customHeight="1">
      <c r="A1072" s="10"/>
      <c r="D1072" s="32" t="s">
        <v>553</v>
      </c>
      <c r="G1072" s="32" t="s">
        <v>529</v>
      </c>
      <c r="I1072" s="58">
        <v>118.00000000000001</v>
      </c>
      <c r="O1072" s="30"/>
    </row>
    <row r="1073" spans="1:15" ht="15" customHeight="1">
      <c r="A1073" s="10"/>
      <c r="D1073" s="32" t="s">
        <v>1163</v>
      </c>
      <c r="G1073" s="32" t="s">
        <v>591</v>
      </c>
      <c r="I1073" s="58">
        <v>0</v>
      </c>
      <c r="O1073" s="30"/>
    </row>
    <row r="1074" spans="1:64" ht="15" customHeight="1">
      <c r="A1074" s="52" t="s">
        <v>1232</v>
      </c>
      <c r="B1074" s="43" t="s">
        <v>901</v>
      </c>
      <c r="C1074" s="43" t="s">
        <v>351</v>
      </c>
      <c r="D1074" s="61" t="s">
        <v>237</v>
      </c>
      <c r="E1074" s="61"/>
      <c r="F1074" s="61"/>
      <c r="G1074" s="61"/>
      <c r="H1074" s="43" t="s">
        <v>392</v>
      </c>
      <c r="I1074" s="46">
        <v>2</v>
      </c>
      <c r="J1074" s="46">
        <v>0</v>
      </c>
      <c r="K1074" s="46">
        <f>I1074*AO1074</f>
        <v>0</v>
      </c>
      <c r="L1074" s="46">
        <f>I1074*AP1074</f>
        <v>0</v>
      </c>
      <c r="M1074" s="46">
        <f>I1074*J1074</f>
        <v>0</v>
      </c>
      <c r="N1074" s="46">
        <v>0.00112</v>
      </c>
      <c r="O1074" s="6" t="s">
        <v>1149</v>
      </c>
      <c r="Z1074" s="46">
        <f>IF(AQ1074="5",BJ1074,0)</f>
        <v>0</v>
      </c>
      <c r="AB1074" s="46">
        <f>IF(AQ1074="1",BH1074,0)</f>
        <v>0</v>
      </c>
      <c r="AC1074" s="46">
        <f>IF(AQ1074="1",BI1074,0)</f>
        <v>0</v>
      </c>
      <c r="AD1074" s="46">
        <f>IF(AQ1074="7",BH1074,0)</f>
        <v>0</v>
      </c>
      <c r="AE1074" s="46">
        <f>IF(AQ1074="7",BI1074,0)</f>
        <v>0</v>
      </c>
      <c r="AF1074" s="46">
        <f>IF(AQ1074="2",BH1074,0)</f>
        <v>0</v>
      </c>
      <c r="AG1074" s="46">
        <f>IF(AQ1074="2",BI1074,0)</f>
        <v>0</v>
      </c>
      <c r="AH1074" s="46">
        <f>IF(AQ1074="0",BJ1074,0)</f>
        <v>0</v>
      </c>
      <c r="AI1074" s="1" t="s">
        <v>901</v>
      </c>
      <c r="AJ1074" s="46">
        <f>IF(AN1074=0,M1074,0)</f>
        <v>0</v>
      </c>
      <c r="AK1074" s="46">
        <f>IF(AN1074=15,M1074,0)</f>
        <v>0</v>
      </c>
      <c r="AL1074" s="46">
        <f>IF(AN1074=21,M1074,0)</f>
        <v>0</v>
      </c>
      <c r="AN1074" s="46">
        <v>21</v>
      </c>
      <c r="AO1074" s="46">
        <f>J1074*1</f>
        <v>0</v>
      </c>
      <c r="AP1074" s="46">
        <f>J1074*(1-1)</f>
        <v>0</v>
      </c>
      <c r="AQ1074" s="42" t="s">
        <v>1648</v>
      </c>
      <c r="AV1074" s="46">
        <f>AW1074+AX1074</f>
        <v>0</v>
      </c>
      <c r="AW1074" s="46">
        <f>I1074*AO1074</f>
        <v>0</v>
      </c>
      <c r="AX1074" s="46">
        <f>I1074*AP1074</f>
        <v>0</v>
      </c>
      <c r="AY1074" s="42" t="s">
        <v>1538</v>
      </c>
      <c r="AZ1074" s="42" t="s">
        <v>1491</v>
      </c>
      <c r="BA1074" s="1" t="s">
        <v>1790</v>
      </c>
      <c r="BC1074" s="46">
        <f>AW1074+AX1074</f>
        <v>0</v>
      </c>
      <c r="BD1074" s="46">
        <f>J1074/(100-BE1074)*100</f>
        <v>0</v>
      </c>
      <c r="BE1074" s="46">
        <v>0</v>
      </c>
      <c r="BF1074" s="46">
        <f>1074</f>
        <v>1074</v>
      </c>
      <c r="BH1074" s="46">
        <f>I1074*AO1074</f>
        <v>0</v>
      </c>
      <c r="BI1074" s="46">
        <f>I1074*AP1074</f>
        <v>0</v>
      </c>
      <c r="BJ1074" s="46">
        <f>I1074*J1074</f>
        <v>0</v>
      </c>
      <c r="BK1074" s="46"/>
      <c r="BL1074" s="46"/>
    </row>
    <row r="1075" spans="1:15" ht="15" customHeight="1">
      <c r="A1075" s="10"/>
      <c r="D1075" s="32" t="s">
        <v>1157</v>
      </c>
      <c r="G1075" s="32" t="s">
        <v>1237</v>
      </c>
      <c r="I1075" s="58">
        <v>2</v>
      </c>
      <c r="O1075" s="30"/>
    </row>
    <row r="1076" spans="1:64" ht="15" customHeight="1">
      <c r="A1076" s="52" t="s">
        <v>1650</v>
      </c>
      <c r="B1076" s="43" t="s">
        <v>901</v>
      </c>
      <c r="C1076" s="43" t="s">
        <v>107</v>
      </c>
      <c r="D1076" s="61" t="s">
        <v>1685</v>
      </c>
      <c r="E1076" s="61"/>
      <c r="F1076" s="61"/>
      <c r="G1076" s="61"/>
      <c r="H1076" s="43" t="s">
        <v>392</v>
      </c>
      <c r="I1076" s="46">
        <v>35</v>
      </c>
      <c r="J1076" s="46">
        <v>0</v>
      </c>
      <c r="K1076" s="46">
        <f>I1076*AO1076</f>
        <v>0</v>
      </c>
      <c r="L1076" s="46">
        <f>I1076*AP1076</f>
        <v>0</v>
      </c>
      <c r="M1076" s="46">
        <f>I1076*J1076</f>
        <v>0</v>
      </c>
      <c r="N1076" s="46">
        <v>0.00031</v>
      </c>
      <c r="O1076" s="6" t="s">
        <v>1149</v>
      </c>
      <c r="Z1076" s="46">
        <f>IF(AQ1076="5",BJ1076,0)</f>
        <v>0</v>
      </c>
      <c r="AB1076" s="46">
        <f>IF(AQ1076="1",BH1076,0)</f>
        <v>0</v>
      </c>
      <c r="AC1076" s="46">
        <f>IF(AQ1076="1",BI1076,0)</f>
        <v>0</v>
      </c>
      <c r="AD1076" s="46">
        <f>IF(AQ1076="7",BH1076,0)</f>
        <v>0</v>
      </c>
      <c r="AE1076" s="46">
        <f>IF(AQ1076="7",BI1076,0)</f>
        <v>0</v>
      </c>
      <c r="AF1076" s="46">
        <f>IF(AQ1076="2",BH1076,0)</f>
        <v>0</v>
      </c>
      <c r="AG1076" s="46">
        <f>IF(AQ1076="2",BI1076,0)</f>
        <v>0</v>
      </c>
      <c r="AH1076" s="46">
        <f>IF(AQ1076="0",BJ1076,0)</f>
        <v>0</v>
      </c>
      <c r="AI1076" s="1" t="s">
        <v>901</v>
      </c>
      <c r="AJ1076" s="46">
        <f>IF(AN1076=0,M1076,0)</f>
        <v>0</v>
      </c>
      <c r="AK1076" s="46">
        <f>IF(AN1076=15,M1076,0)</f>
        <v>0</v>
      </c>
      <c r="AL1076" s="46">
        <f>IF(AN1076=21,M1076,0)</f>
        <v>0</v>
      </c>
      <c r="AN1076" s="46">
        <v>21</v>
      </c>
      <c r="AO1076" s="46">
        <f>J1076*1</f>
        <v>0</v>
      </c>
      <c r="AP1076" s="46">
        <f>J1076*(1-1)</f>
        <v>0</v>
      </c>
      <c r="AQ1076" s="42" t="s">
        <v>1648</v>
      </c>
      <c r="AV1076" s="46">
        <f>AW1076+AX1076</f>
        <v>0</v>
      </c>
      <c r="AW1076" s="46">
        <f>I1076*AO1076</f>
        <v>0</v>
      </c>
      <c r="AX1076" s="46">
        <f>I1076*AP1076</f>
        <v>0</v>
      </c>
      <c r="AY1076" s="42" t="s">
        <v>1538</v>
      </c>
      <c r="AZ1076" s="42" t="s">
        <v>1491</v>
      </c>
      <c r="BA1076" s="1" t="s">
        <v>1790</v>
      </c>
      <c r="BC1076" s="46">
        <f>AW1076+AX1076</f>
        <v>0</v>
      </c>
      <c r="BD1076" s="46">
        <f>J1076/(100-BE1076)*100</f>
        <v>0</v>
      </c>
      <c r="BE1076" s="46">
        <v>0</v>
      </c>
      <c r="BF1076" s="46">
        <f>1076</f>
        <v>1076</v>
      </c>
      <c r="BH1076" s="46">
        <f>I1076*AO1076</f>
        <v>0</v>
      </c>
      <c r="BI1076" s="46">
        <f>I1076*AP1076</f>
        <v>0</v>
      </c>
      <c r="BJ1076" s="46">
        <f>I1076*J1076</f>
        <v>0</v>
      </c>
      <c r="BK1076" s="46"/>
      <c r="BL1076" s="46"/>
    </row>
    <row r="1077" spans="1:15" ht="15" customHeight="1">
      <c r="A1077" s="10"/>
      <c r="D1077" s="32" t="s">
        <v>1468</v>
      </c>
      <c r="G1077" s="32" t="s">
        <v>968</v>
      </c>
      <c r="I1077" s="58">
        <v>35</v>
      </c>
      <c r="O1077" s="30"/>
    </row>
    <row r="1078" spans="1:64" ht="15" customHeight="1">
      <c r="A1078" s="52" t="s">
        <v>202</v>
      </c>
      <c r="B1078" s="43" t="s">
        <v>901</v>
      </c>
      <c r="C1078" s="43" t="s">
        <v>1869</v>
      </c>
      <c r="D1078" s="61" t="s">
        <v>1573</v>
      </c>
      <c r="E1078" s="61"/>
      <c r="F1078" s="61"/>
      <c r="G1078" s="61"/>
      <c r="H1078" s="43" t="s">
        <v>392</v>
      </c>
      <c r="I1078" s="46">
        <v>2</v>
      </c>
      <c r="J1078" s="46">
        <v>0</v>
      </c>
      <c r="K1078" s="46">
        <f>I1078*AO1078</f>
        <v>0</v>
      </c>
      <c r="L1078" s="46">
        <f>I1078*AP1078</f>
        <v>0</v>
      </c>
      <c r="M1078" s="46">
        <f>I1078*J1078</f>
        <v>0</v>
      </c>
      <c r="N1078" s="46">
        <v>0</v>
      </c>
      <c r="O1078" s="6" t="s">
        <v>1149</v>
      </c>
      <c r="Z1078" s="46">
        <f>IF(AQ1078="5",BJ1078,0)</f>
        <v>0</v>
      </c>
      <c r="AB1078" s="46">
        <f>IF(AQ1078="1",BH1078,0)</f>
        <v>0</v>
      </c>
      <c r="AC1078" s="46">
        <f>IF(AQ1078="1",BI1078,0)</f>
        <v>0</v>
      </c>
      <c r="AD1078" s="46">
        <f>IF(AQ1078="7",BH1078,0)</f>
        <v>0</v>
      </c>
      <c r="AE1078" s="46">
        <f>IF(AQ1078="7",BI1078,0)</f>
        <v>0</v>
      </c>
      <c r="AF1078" s="46">
        <f>IF(AQ1078="2",BH1078,0)</f>
        <v>0</v>
      </c>
      <c r="AG1078" s="46">
        <f>IF(AQ1078="2",BI1078,0)</f>
        <v>0</v>
      </c>
      <c r="AH1078" s="46">
        <f>IF(AQ1078="0",BJ1078,0)</f>
        <v>0</v>
      </c>
      <c r="AI1078" s="1" t="s">
        <v>901</v>
      </c>
      <c r="AJ1078" s="46">
        <f>IF(AN1078=0,M1078,0)</f>
        <v>0</v>
      </c>
      <c r="AK1078" s="46">
        <f>IF(AN1078=15,M1078,0)</f>
        <v>0</v>
      </c>
      <c r="AL1078" s="46">
        <f>IF(AN1078=21,M1078,0)</f>
        <v>0</v>
      </c>
      <c r="AN1078" s="46">
        <v>21</v>
      </c>
      <c r="AO1078" s="46">
        <f>J1078*1</f>
        <v>0</v>
      </c>
      <c r="AP1078" s="46">
        <f>J1078*(1-1)</f>
        <v>0</v>
      </c>
      <c r="AQ1078" s="42" t="s">
        <v>1648</v>
      </c>
      <c r="AV1078" s="46">
        <f>AW1078+AX1078</f>
        <v>0</v>
      </c>
      <c r="AW1078" s="46">
        <f>I1078*AO1078</f>
        <v>0</v>
      </c>
      <c r="AX1078" s="46">
        <f>I1078*AP1078</f>
        <v>0</v>
      </c>
      <c r="AY1078" s="42" t="s">
        <v>1538</v>
      </c>
      <c r="AZ1078" s="42" t="s">
        <v>1491</v>
      </c>
      <c r="BA1078" s="1" t="s">
        <v>1790</v>
      </c>
      <c r="BC1078" s="46">
        <f>AW1078+AX1078</f>
        <v>0</v>
      </c>
      <c r="BD1078" s="46">
        <f>J1078/(100-BE1078)*100</f>
        <v>0</v>
      </c>
      <c r="BE1078" s="46">
        <v>0</v>
      </c>
      <c r="BF1078" s="46">
        <f>1078</f>
        <v>1078</v>
      </c>
      <c r="BH1078" s="46">
        <f>I1078*AO1078</f>
        <v>0</v>
      </c>
      <c r="BI1078" s="46">
        <f>I1078*AP1078</f>
        <v>0</v>
      </c>
      <c r="BJ1078" s="46">
        <f>I1078*J1078</f>
        <v>0</v>
      </c>
      <c r="BK1078" s="46"/>
      <c r="BL1078" s="46"/>
    </row>
    <row r="1079" spans="1:15" ht="15" customHeight="1">
      <c r="A1079" s="10"/>
      <c r="D1079" s="32" t="s">
        <v>1157</v>
      </c>
      <c r="G1079" s="32" t="s">
        <v>99</v>
      </c>
      <c r="I1079" s="58">
        <v>2</v>
      </c>
      <c r="O1079" s="30"/>
    </row>
    <row r="1080" spans="1:64" ht="15" customHeight="1">
      <c r="A1080" s="52" t="s">
        <v>932</v>
      </c>
      <c r="B1080" s="43" t="s">
        <v>901</v>
      </c>
      <c r="C1080" s="43" t="s">
        <v>1244</v>
      </c>
      <c r="D1080" s="61" t="s">
        <v>259</v>
      </c>
      <c r="E1080" s="61"/>
      <c r="F1080" s="61"/>
      <c r="G1080" s="61"/>
      <c r="H1080" s="43" t="s">
        <v>392</v>
      </c>
      <c r="I1080" s="46">
        <v>35</v>
      </c>
      <c r="J1080" s="46">
        <v>0</v>
      </c>
      <c r="K1080" s="46">
        <f>I1080*AO1080</f>
        <v>0</v>
      </c>
      <c r="L1080" s="46">
        <f>I1080*AP1080</f>
        <v>0</v>
      </c>
      <c r="M1080" s="46">
        <f>I1080*J1080</f>
        <v>0</v>
      </c>
      <c r="N1080" s="46">
        <v>0</v>
      </c>
      <c r="O1080" s="6" t="s">
        <v>1149</v>
      </c>
      <c r="Z1080" s="46">
        <f>IF(AQ1080="5",BJ1080,0)</f>
        <v>0</v>
      </c>
      <c r="AB1080" s="46">
        <f>IF(AQ1080="1",BH1080,0)</f>
        <v>0</v>
      </c>
      <c r="AC1080" s="46">
        <f>IF(AQ1080="1",BI1080,0)</f>
        <v>0</v>
      </c>
      <c r="AD1080" s="46">
        <f>IF(AQ1080="7",BH1080,0)</f>
        <v>0</v>
      </c>
      <c r="AE1080" s="46">
        <f>IF(AQ1080="7",BI1080,0)</f>
        <v>0</v>
      </c>
      <c r="AF1080" s="46">
        <f>IF(AQ1080="2",BH1080,0)</f>
        <v>0</v>
      </c>
      <c r="AG1080" s="46">
        <f>IF(AQ1080="2",BI1080,0)</f>
        <v>0</v>
      </c>
      <c r="AH1080" s="46">
        <f>IF(AQ1080="0",BJ1080,0)</f>
        <v>0</v>
      </c>
      <c r="AI1080" s="1" t="s">
        <v>901</v>
      </c>
      <c r="AJ1080" s="46">
        <f>IF(AN1080=0,M1080,0)</f>
        <v>0</v>
      </c>
      <c r="AK1080" s="46">
        <f>IF(AN1080=15,M1080,0)</f>
        <v>0</v>
      </c>
      <c r="AL1080" s="46">
        <f>IF(AN1080=21,M1080,0)</f>
        <v>0</v>
      </c>
      <c r="AN1080" s="46">
        <v>21</v>
      </c>
      <c r="AO1080" s="46">
        <f>J1080*1</f>
        <v>0</v>
      </c>
      <c r="AP1080" s="46">
        <f>J1080*(1-1)</f>
        <v>0</v>
      </c>
      <c r="AQ1080" s="42" t="s">
        <v>1648</v>
      </c>
      <c r="AV1080" s="46">
        <f>AW1080+AX1080</f>
        <v>0</v>
      </c>
      <c r="AW1080" s="46">
        <f>I1080*AO1080</f>
        <v>0</v>
      </c>
      <c r="AX1080" s="46">
        <f>I1080*AP1080</f>
        <v>0</v>
      </c>
      <c r="AY1080" s="42" t="s">
        <v>1538</v>
      </c>
      <c r="AZ1080" s="42" t="s">
        <v>1491</v>
      </c>
      <c r="BA1080" s="1" t="s">
        <v>1790</v>
      </c>
      <c r="BC1080" s="46">
        <f>AW1080+AX1080</f>
        <v>0</v>
      </c>
      <c r="BD1080" s="46">
        <f>J1080/(100-BE1080)*100</f>
        <v>0</v>
      </c>
      <c r="BE1080" s="46">
        <v>0</v>
      </c>
      <c r="BF1080" s="46">
        <f>1080</f>
        <v>1080</v>
      </c>
      <c r="BH1080" s="46">
        <f>I1080*AO1080</f>
        <v>0</v>
      </c>
      <c r="BI1080" s="46">
        <f>I1080*AP1080</f>
        <v>0</v>
      </c>
      <c r="BJ1080" s="46">
        <f>I1080*J1080</f>
        <v>0</v>
      </c>
      <c r="BK1080" s="46"/>
      <c r="BL1080" s="46"/>
    </row>
    <row r="1081" spans="1:15" ht="15" customHeight="1">
      <c r="A1081" s="10"/>
      <c r="D1081" s="32" t="s">
        <v>1468</v>
      </c>
      <c r="G1081" s="32" t="s">
        <v>66</v>
      </c>
      <c r="I1081" s="58">
        <v>35</v>
      </c>
      <c r="O1081" s="30"/>
    </row>
    <row r="1082" spans="1:64" ht="15" customHeight="1">
      <c r="A1082" s="52" t="s">
        <v>1248</v>
      </c>
      <c r="B1082" s="43" t="s">
        <v>901</v>
      </c>
      <c r="C1082" s="43" t="s">
        <v>819</v>
      </c>
      <c r="D1082" s="61" t="s">
        <v>423</v>
      </c>
      <c r="E1082" s="61"/>
      <c r="F1082" s="61"/>
      <c r="G1082" s="61"/>
      <c r="H1082" s="43" t="s">
        <v>392</v>
      </c>
      <c r="I1082" s="46">
        <v>17</v>
      </c>
      <c r="J1082" s="46">
        <v>0</v>
      </c>
      <c r="K1082" s="46">
        <f>I1082*AO1082</f>
        <v>0</v>
      </c>
      <c r="L1082" s="46">
        <f>I1082*AP1082</f>
        <v>0</v>
      </c>
      <c r="M1082" s="46">
        <f>I1082*J1082</f>
        <v>0</v>
      </c>
      <c r="N1082" s="46">
        <v>0</v>
      </c>
      <c r="O1082" s="6" t="s">
        <v>1149</v>
      </c>
      <c r="Z1082" s="46">
        <f>IF(AQ1082="5",BJ1082,0)</f>
        <v>0</v>
      </c>
      <c r="AB1082" s="46">
        <f>IF(AQ1082="1",BH1082,0)</f>
        <v>0</v>
      </c>
      <c r="AC1082" s="46">
        <f>IF(AQ1082="1",BI1082,0)</f>
        <v>0</v>
      </c>
      <c r="AD1082" s="46">
        <f>IF(AQ1082="7",BH1082,0)</f>
        <v>0</v>
      </c>
      <c r="AE1082" s="46">
        <f>IF(AQ1082="7",BI1082,0)</f>
        <v>0</v>
      </c>
      <c r="AF1082" s="46">
        <f>IF(AQ1082="2",BH1082,0)</f>
        <v>0</v>
      </c>
      <c r="AG1082" s="46">
        <f>IF(AQ1082="2",BI1082,0)</f>
        <v>0</v>
      </c>
      <c r="AH1082" s="46">
        <f>IF(AQ1082="0",BJ1082,0)</f>
        <v>0</v>
      </c>
      <c r="AI1082" s="1" t="s">
        <v>901</v>
      </c>
      <c r="AJ1082" s="46">
        <f>IF(AN1082=0,M1082,0)</f>
        <v>0</v>
      </c>
      <c r="AK1082" s="46">
        <f>IF(AN1082=15,M1082,0)</f>
        <v>0</v>
      </c>
      <c r="AL1082" s="46">
        <f>IF(AN1082=21,M1082,0)</f>
        <v>0</v>
      </c>
      <c r="AN1082" s="46">
        <v>21</v>
      </c>
      <c r="AO1082" s="46">
        <f>J1082*1</f>
        <v>0</v>
      </c>
      <c r="AP1082" s="46">
        <f>J1082*(1-1)</f>
        <v>0</v>
      </c>
      <c r="AQ1082" s="42" t="s">
        <v>1648</v>
      </c>
      <c r="AV1082" s="46">
        <f>AW1082+AX1082</f>
        <v>0</v>
      </c>
      <c r="AW1082" s="46">
        <f>I1082*AO1082</f>
        <v>0</v>
      </c>
      <c r="AX1082" s="46">
        <f>I1082*AP1082</f>
        <v>0</v>
      </c>
      <c r="AY1082" s="42" t="s">
        <v>1538</v>
      </c>
      <c r="AZ1082" s="42" t="s">
        <v>1491</v>
      </c>
      <c r="BA1082" s="1" t="s">
        <v>1790</v>
      </c>
      <c r="BC1082" s="46">
        <f>AW1082+AX1082</f>
        <v>0</v>
      </c>
      <c r="BD1082" s="46">
        <f>J1082/(100-BE1082)*100</f>
        <v>0</v>
      </c>
      <c r="BE1082" s="46">
        <v>0</v>
      </c>
      <c r="BF1082" s="46">
        <f>1082</f>
        <v>1082</v>
      </c>
      <c r="BH1082" s="46">
        <f>I1082*AO1082</f>
        <v>0</v>
      </c>
      <c r="BI1082" s="46">
        <f>I1082*AP1082</f>
        <v>0</v>
      </c>
      <c r="BJ1082" s="46">
        <f>I1082*J1082</f>
        <v>0</v>
      </c>
      <c r="BK1082" s="46"/>
      <c r="BL1082" s="46"/>
    </row>
    <row r="1083" spans="1:15" ht="15" customHeight="1">
      <c r="A1083" s="10"/>
      <c r="D1083" s="32" t="s">
        <v>1169</v>
      </c>
      <c r="G1083" s="32" t="s">
        <v>729</v>
      </c>
      <c r="I1083" s="58">
        <v>17</v>
      </c>
      <c r="O1083" s="30"/>
    </row>
    <row r="1084" spans="1:15" ht="15" customHeight="1">
      <c r="A1084" s="10"/>
      <c r="D1084" s="32" t="s">
        <v>1163</v>
      </c>
      <c r="G1084" s="32" t="s">
        <v>1258</v>
      </c>
      <c r="I1084" s="58">
        <v>0</v>
      </c>
      <c r="O1084" s="30"/>
    </row>
    <row r="1085" spans="1:64" ht="15" customHeight="1">
      <c r="A1085" s="52" t="s">
        <v>1839</v>
      </c>
      <c r="B1085" s="43" t="s">
        <v>901</v>
      </c>
      <c r="C1085" s="43" t="s">
        <v>1023</v>
      </c>
      <c r="D1085" s="61" t="s">
        <v>427</v>
      </c>
      <c r="E1085" s="61"/>
      <c r="F1085" s="61"/>
      <c r="G1085" s="61"/>
      <c r="H1085" s="43" t="s">
        <v>392</v>
      </c>
      <c r="I1085" s="46">
        <v>18</v>
      </c>
      <c r="J1085" s="46">
        <v>0</v>
      </c>
      <c r="K1085" s="46">
        <f>I1085*AO1085</f>
        <v>0</v>
      </c>
      <c r="L1085" s="46">
        <f>I1085*AP1085</f>
        <v>0</v>
      </c>
      <c r="M1085" s="46">
        <f>I1085*J1085</f>
        <v>0</v>
      </c>
      <c r="N1085" s="46">
        <v>0</v>
      </c>
      <c r="O1085" s="6" t="s">
        <v>1149</v>
      </c>
      <c r="Z1085" s="46">
        <f>IF(AQ1085="5",BJ1085,0)</f>
        <v>0</v>
      </c>
      <c r="AB1085" s="46">
        <f>IF(AQ1085="1",BH1085,0)</f>
        <v>0</v>
      </c>
      <c r="AC1085" s="46">
        <f>IF(AQ1085="1",BI1085,0)</f>
        <v>0</v>
      </c>
      <c r="AD1085" s="46">
        <f>IF(AQ1085="7",BH1085,0)</f>
        <v>0</v>
      </c>
      <c r="AE1085" s="46">
        <f>IF(AQ1085="7",BI1085,0)</f>
        <v>0</v>
      </c>
      <c r="AF1085" s="46">
        <f>IF(AQ1085="2",BH1085,0)</f>
        <v>0</v>
      </c>
      <c r="AG1085" s="46">
        <f>IF(AQ1085="2",BI1085,0)</f>
        <v>0</v>
      </c>
      <c r="AH1085" s="46">
        <f>IF(AQ1085="0",BJ1085,0)</f>
        <v>0</v>
      </c>
      <c r="AI1085" s="1" t="s">
        <v>901</v>
      </c>
      <c r="AJ1085" s="46">
        <f>IF(AN1085=0,M1085,0)</f>
        <v>0</v>
      </c>
      <c r="AK1085" s="46">
        <f>IF(AN1085=15,M1085,0)</f>
        <v>0</v>
      </c>
      <c r="AL1085" s="46">
        <f>IF(AN1085=21,M1085,0)</f>
        <v>0</v>
      </c>
      <c r="AN1085" s="46">
        <v>21</v>
      </c>
      <c r="AO1085" s="46">
        <f>J1085*1</f>
        <v>0</v>
      </c>
      <c r="AP1085" s="46">
        <f>J1085*(1-1)</f>
        <v>0</v>
      </c>
      <c r="AQ1085" s="42" t="s">
        <v>1648</v>
      </c>
      <c r="AV1085" s="46">
        <f>AW1085+AX1085</f>
        <v>0</v>
      </c>
      <c r="AW1085" s="46">
        <f>I1085*AO1085</f>
        <v>0</v>
      </c>
      <c r="AX1085" s="46">
        <f>I1085*AP1085</f>
        <v>0</v>
      </c>
      <c r="AY1085" s="42" t="s">
        <v>1538</v>
      </c>
      <c r="AZ1085" s="42" t="s">
        <v>1491</v>
      </c>
      <c r="BA1085" s="1" t="s">
        <v>1790</v>
      </c>
      <c r="BC1085" s="46">
        <f>AW1085+AX1085</f>
        <v>0</v>
      </c>
      <c r="BD1085" s="46">
        <f>J1085/(100-BE1085)*100</f>
        <v>0</v>
      </c>
      <c r="BE1085" s="46">
        <v>0</v>
      </c>
      <c r="BF1085" s="46">
        <f>1085</f>
        <v>1085</v>
      </c>
      <c r="BH1085" s="46">
        <f>I1085*AO1085</f>
        <v>0</v>
      </c>
      <c r="BI1085" s="46">
        <f>I1085*AP1085</f>
        <v>0</v>
      </c>
      <c r="BJ1085" s="46">
        <f>I1085*J1085</f>
        <v>0</v>
      </c>
      <c r="BK1085" s="46"/>
      <c r="BL1085" s="46"/>
    </row>
    <row r="1086" spans="1:15" ht="15" customHeight="1">
      <c r="A1086" s="31"/>
      <c r="B1086" s="48"/>
      <c r="C1086" s="48"/>
      <c r="D1086" s="5" t="s">
        <v>1333</v>
      </c>
      <c r="E1086" s="48"/>
      <c r="F1086" s="48"/>
      <c r="G1086" s="5" t="s">
        <v>1263</v>
      </c>
      <c r="H1086" s="48"/>
      <c r="I1086" s="56">
        <v>18</v>
      </c>
      <c r="J1086" s="48"/>
      <c r="K1086" s="48"/>
      <c r="L1086" s="48"/>
      <c r="M1086" s="48"/>
      <c r="N1086" s="48"/>
      <c r="O1086" s="20"/>
    </row>
    <row r="1087" spans="11:13" ht="15" customHeight="1">
      <c r="K1087" s="62" t="s">
        <v>1327</v>
      </c>
      <c r="L1087" s="62"/>
      <c r="M1087" s="22">
        <f>M13+M16+M19+M24+M29+M41+M48+M62+M74+M77+M79+M85+M89+M92+M95+M101+M104+M111+M118+M123+M144+M147+M159+M163+M173+M180+M190+M195+M198+M204+M215+M218+M237+M292+M295+M301+M306+M320+M357+M370+M375+M380+M386+M399+M402+M409+M416+M426+M462+M508+M514+M519+M533+M558+M565+M570+M576+M583+M586+M589+M603+M610+M615+M638+M641+M648+M652+M657+M663+M670+M675+M678+M683+M687+M700+M711+M747+M751+M762+M768+M772+M775+M780+M786+M791+M794+M797+M808+M817+M821+M824+M827+M886+M891+M894+M898+M901+M906+M910+M915+M929+M932+M939+M946+M959+M982+M988+M992+M995+M1006+M1013+M1020+M1023+M1028+M1033+M1038+M1046+M1049+M1054+M1061</f>
        <v>0</v>
      </c>
    </row>
    <row r="1088" ht="15" customHeight="1">
      <c r="A1088" s="44" t="s">
        <v>144</v>
      </c>
    </row>
    <row r="1089" spans="1:15" ht="12.75" customHeight="1">
      <c r="A1089" s="63" t="s">
        <v>1163</v>
      </c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</row>
  </sheetData>
  <sheetProtection/>
  <mergeCells count="647">
    <mergeCell ref="A1:O1"/>
    <mergeCell ref="A2:B3"/>
    <mergeCell ref="A4:B5"/>
    <mergeCell ref="A6:B7"/>
    <mergeCell ref="A8:B9"/>
    <mergeCell ref="E2:E3"/>
    <mergeCell ref="E4:E5"/>
    <mergeCell ref="E6:E7"/>
    <mergeCell ref="E8:E9"/>
    <mergeCell ref="G2:G3"/>
    <mergeCell ref="C4:D5"/>
    <mergeCell ref="C6:D7"/>
    <mergeCell ref="C8:D9"/>
    <mergeCell ref="F2:F3"/>
    <mergeCell ref="F4:F5"/>
    <mergeCell ref="F6:F7"/>
    <mergeCell ref="F8:F9"/>
    <mergeCell ref="H2:O3"/>
    <mergeCell ref="H4:O5"/>
    <mergeCell ref="H6:O7"/>
    <mergeCell ref="H8:O9"/>
    <mergeCell ref="D11:G11"/>
    <mergeCell ref="G4:G5"/>
    <mergeCell ref="G6:G7"/>
    <mergeCell ref="G8:G9"/>
    <mergeCell ref="C2:D3"/>
    <mergeCell ref="D12:G12"/>
    <mergeCell ref="D13:G13"/>
    <mergeCell ref="D14:G14"/>
    <mergeCell ref="D16:G16"/>
    <mergeCell ref="D17:G17"/>
    <mergeCell ref="D19:G19"/>
    <mergeCell ref="D20:G20"/>
    <mergeCell ref="D22:G22"/>
    <mergeCell ref="D24:G24"/>
    <mergeCell ref="D25:G25"/>
    <mergeCell ref="D27:G27"/>
    <mergeCell ref="D29:G29"/>
    <mergeCell ref="D30:G30"/>
    <mergeCell ref="D32:G32"/>
    <mergeCell ref="D34:G34"/>
    <mergeCell ref="D36:O36"/>
    <mergeCell ref="D37:G37"/>
    <mergeCell ref="D39:G39"/>
    <mergeCell ref="D41:G41"/>
    <mergeCell ref="D42:G42"/>
    <mergeCell ref="D44:G44"/>
    <mergeCell ref="D46:G46"/>
    <mergeCell ref="D48:G48"/>
    <mergeCell ref="D49:G49"/>
    <mergeCell ref="D51:G51"/>
    <mergeCell ref="D53:G53"/>
    <mergeCell ref="D55:O55"/>
    <mergeCell ref="D56:G56"/>
    <mergeCell ref="D58:G58"/>
    <mergeCell ref="D60:G60"/>
    <mergeCell ref="D62:G62"/>
    <mergeCell ref="D63:G63"/>
    <mergeCell ref="D65:O65"/>
    <mergeCell ref="D66:G66"/>
    <mergeCell ref="D68:G68"/>
    <mergeCell ref="D70:G70"/>
    <mergeCell ref="D71:G71"/>
    <mergeCell ref="D73:G73"/>
    <mergeCell ref="D74:G74"/>
    <mergeCell ref="D75:G75"/>
    <mergeCell ref="D77:G77"/>
    <mergeCell ref="D78:G78"/>
    <mergeCell ref="D79:G79"/>
    <mergeCell ref="D80:G80"/>
    <mergeCell ref="D82:G82"/>
    <mergeCell ref="D83:G83"/>
    <mergeCell ref="D84:O84"/>
    <mergeCell ref="D85:G85"/>
    <mergeCell ref="D86:G86"/>
    <mergeCell ref="D88:G88"/>
    <mergeCell ref="D89:G89"/>
    <mergeCell ref="D90:G90"/>
    <mergeCell ref="D92:G92"/>
    <mergeCell ref="D93:G93"/>
    <mergeCell ref="D95:G95"/>
    <mergeCell ref="D96:G96"/>
    <mergeCell ref="D98:G98"/>
    <mergeCell ref="D100:O100"/>
    <mergeCell ref="D101:G101"/>
    <mergeCell ref="D102:G102"/>
    <mergeCell ref="D104:G104"/>
    <mergeCell ref="D105:G105"/>
    <mergeCell ref="D107:G107"/>
    <mergeCell ref="D109:G109"/>
    <mergeCell ref="D111:G111"/>
    <mergeCell ref="D112:G112"/>
    <mergeCell ref="D114:G114"/>
    <mergeCell ref="D116:G116"/>
    <mergeCell ref="D118:G118"/>
    <mergeCell ref="D119:G119"/>
    <mergeCell ref="D120:G120"/>
    <mergeCell ref="D122:G122"/>
    <mergeCell ref="D123:G123"/>
    <mergeCell ref="D124:G124"/>
    <mergeCell ref="D126:G126"/>
    <mergeCell ref="D128:G128"/>
    <mergeCell ref="D130:G130"/>
    <mergeCell ref="D132:G132"/>
    <mergeCell ref="D134:G134"/>
    <mergeCell ref="D136:G136"/>
    <mergeCell ref="D138:G138"/>
    <mergeCell ref="D140:G140"/>
    <mergeCell ref="D144:G144"/>
    <mergeCell ref="D145:G145"/>
    <mergeCell ref="D147:G147"/>
    <mergeCell ref="D148:G148"/>
    <mergeCell ref="D151:G151"/>
    <mergeCell ref="D155:G155"/>
    <mergeCell ref="D157:G157"/>
    <mergeCell ref="D159:G159"/>
    <mergeCell ref="D160:G160"/>
    <mergeCell ref="D161:G161"/>
    <mergeCell ref="D163:G163"/>
    <mergeCell ref="D164:G164"/>
    <mergeCell ref="D167:G167"/>
    <mergeCell ref="D170:G170"/>
    <mergeCell ref="D172:G172"/>
    <mergeCell ref="D173:G173"/>
    <mergeCell ref="D174:G174"/>
    <mergeCell ref="D178:G178"/>
    <mergeCell ref="D180:G180"/>
    <mergeCell ref="D181:G181"/>
    <mergeCell ref="D184:G184"/>
    <mergeCell ref="D190:G190"/>
    <mergeCell ref="D191:G191"/>
    <mergeCell ref="D193:G193"/>
    <mergeCell ref="D195:G195"/>
    <mergeCell ref="D196:G196"/>
    <mergeCell ref="D198:G198"/>
    <mergeCell ref="D199:G199"/>
    <mergeCell ref="D202:G202"/>
    <mergeCell ref="D204:G204"/>
    <mergeCell ref="D205:G205"/>
    <mergeCell ref="D207:G207"/>
    <mergeCell ref="D209:G209"/>
    <mergeCell ref="D211:G211"/>
    <mergeCell ref="D213:G213"/>
    <mergeCell ref="D214:G214"/>
    <mergeCell ref="D215:G215"/>
    <mergeCell ref="D216:G216"/>
    <mergeCell ref="D218:G218"/>
    <mergeCell ref="D219:G219"/>
    <mergeCell ref="D221:G221"/>
    <mergeCell ref="D222:G222"/>
    <mergeCell ref="D223:G223"/>
    <mergeCell ref="D225:G225"/>
    <mergeCell ref="D227:G227"/>
    <mergeCell ref="D228:G228"/>
    <mergeCell ref="D229:G229"/>
    <mergeCell ref="D235:G235"/>
    <mergeCell ref="D237:G237"/>
    <mergeCell ref="D238:G238"/>
    <mergeCell ref="D239:G239"/>
    <mergeCell ref="D241:G241"/>
    <mergeCell ref="D242:G242"/>
    <mergeCell ref="D244:G244"/>
    <mergeCell ref="D246:G246"/>
    <mergeCell ref="D248:G248"/>
    <mergeCell ref="D252:G252"/>
    <mergeCell ref="D254:G254"/>
    <mergeCell ref="D255:G255"/>
    <mergeCell ref="D256:G256"/>
    <mergeCell ref="D257:G257"/>
    <mergeCell ref="D258:G258"/>
    <mergeCell ref="D259:G259"/>
    <mergeCell ref="D262:G262"/>
    <mergeCell ref="D264:G264"/>
    <mergeCell ref="D266:G266"/>
    <mergeCell ref="D268:G268"/>
    <mergeCell ref="D270:G270"/>
    <mergeCell ref="D272:G272"/>
    <mergeCell ref="D273:G273"/>
    <mergeCell ref="D274:G274"/>
    <mergeCell ref="D275:G275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88:G288"/>
    <mergeCell ref="D290:G290"/>
    <mergeCell ref="D292:G292"/>
    <mergeCell ref="D293:G293"/>
    <mergeCell ref="D295:G295"/>
    <mergeCell ref="D296:G296"/>
    <mergeCell ref="D298:G298"/>
    <mergeCell ref="D301:G301"/>
    <mergeCell ref="D302:G302"/>
    <mergeCell ref="D304:G304"/>
    <mergeCell ref="D306:G306"/>
    <mergeCell ref="D307:G307"/>
    <mergeCell ref="D308:G308"/>
    <mergeCell ref="D309:G309"/>
    <mergeCell ref="D311:G311"/>
    <mergeCell ref="D313:G313"/>
    <mergeCell ref="D315:G315"/>
    <mergeCell ref="D317:G317"/>
    <mergeCell ref="D318:G318"/>
    <mergeCell ref="D319:G319"/>
    <mergeCell ref="D320:G320"/>
    <mergeCell ref="D321:G321"/>
    <mergeCell ref="D323:G323"/>
    <mergeCell ref="D325:G325"/>
    <mergeCell ref="D327:G327"/>
    <mergeCell ref="D329:G329"/>
    <mergeCell ref="D331:G331"/>
    <mergeCell ref="D333:G333"/>
    <mergeCell ref="D335:G335"/>
    <mergeCell ref="D338:G338"/>
    <mergeCell ref="D342:G342"/>
    <mergeCell ref="D344:G344"/>
    <mergeCell ref="D347:G347"/>
    <mergeCell ref="D349:G349"/>
    <mergeCell ref="D351:G351"/>
    <mergeCell ref="D353:G353"/>
    <mergeCell ref="D355:G355"/>
    <mergeCell ref="D357:G357"/>
    <mergeCell ref="D358:G358"/>
    <mergeCell ref="D364:G364"/>
    <mergeCell ref="D368:G368"/>
    <mergeCell ref="D370:G370"/>
    <mergeCell ref="D371:G371"/>
    <mergeCell ref="D373:G373"/>
    <mergeCell ref="D375:G375"/>
    <mergeCell ref="D376:G376"/>
    <mergeCell ref="D378:G378"/>
    <mergeCell ref="D380:G380"/>
    <mergeCell ref="D381:G381"/>
    <mergeCell ref="D384:G384"/>
    <mergeCell ref="D386:G386"/>
    <mergeCell ref="D387:G387"/>
    <mergeCell ref="D391:G391"/>
    <mergeCell ref="D399:G399"/>
    <mergeCell ref="D400:G400"/>
    <mergeCell ref="D402:G402"/>
    <mergeCell ref="D403:G403"/>
    <mergeCell ref="D407:G407"/>
    <mergeCell ref="D409:G409"/>
    <mergeCell ref="D410:G410"/>
    <mergeCell ref="D412:G412"/>
    <mergeCell ref="D414:G414"/>
    <mergeCell ref="D416:G416"/>
    <mergeCell ref="D417:G417"/>
    <mergeCell ref="D419:G419"/>
    <mergeCell ref="D422:G422"/>
    <mergeCell ref="D424:G424"/>
    <mergeCell ref="D426:G426"/>
    <mergeCell ref="D427:G427"/>
    <mergeCell ref="D429:G429"/>
    <mergeCell ref="D431:G431"/>
    <mergeCell ref="D433:G433"/>
    <mergeCell ref="D435:G435"/>
    <mergeCell ref="D436:G436"/>
    <mergeCell ref="D438:G438"/>
    <mergeCell ref="D440:G440"/>
    <mergeCell ref="D441:G441"/>
    <mergeCell ref="D443:G443"/>
    <mergeCell ref="D444:G444"/>
    <mergeCell ref="D446:G446"/>
    <mergeCell ref="D448:G448"/>
    <mergeCell ref="D449:G449"/>
    <mergeCell ref="D450:G450"/>
    <mergeCell ref="D452:G452"/>
    <mergeCell ref="D454:G454"/>
    <mergeCell ref="D456:G456"/>
    <mergeCell ref="D458:G458"/>
    <mergeCell ref="D460:G460"/>
    <mergeCell ref="D462:G462"/>
    <mergeCell ref="D463:G463"/>
    <mergeCell ref="D467:G467"/>
    <mergeCell ref="D469:G469"/>
    <mergeCell ref="D471:G471"/>
    <mergeCell ref="D474:G474"/>
    <mergeCell ref="D477:G477"/>
    <mergeCell ref="D478:G478"/>
    <mergeCell ref="D481:G481"/>
    <mergeCell ref="D483:G483"/>
    <mergeCell ref="D484:G484"/>
    <mergeCell ref="D485:G485"/>
    <mergeCell ref="D486:G486"/>
    <mergeCell ref="D487:G487"/>
    <mergeCell ref="D488:G488"/>
    <mergeCell ref="D489:G489"/>
    <mergeCell ref="D490:G490"/>
    <mergeCell ref="D492:G492"/>
    <mergeCell ref="D493:G493"/>
    <mergeCell ref="D494:G494"/>
    <mergeCell ref="D496:G496"/>
    <mergeCell ref="D497:G497"/>
    <mergeCell ref="D498:G498"/>
    <mergeCell ref="D500:G500"/>
    <mergeCell ref="D501:G501"/>
    <mergeCell ref="D503:G503"/>
    <mergeCell ref="D504:G504"/>
    <mergeCell ref="D506:G506"/>
    <mergeCell ref="D507:G507"/>
    <mergeCell ref="D508:G508"/>
    <mergeCell ref="D509:G509"/>
    <mergeCell ref="D512:G512"/>
    <mergeCell ref="D514:G514"/>
    <mergeCell ref="D515:G515"/>
    <mergeCell ref="D519:G519"/>
    <mergeCell ref="D520:G520"/>
    <mergeCell ref="D522:G522"/>
    <mergeCell ref="D524:G524"/>
    <mergeCell ref="D526:G526"/>
    <mergeCell ref="D528:G528"/>
    <mergeCell ref="D530:G530"/>
    <mergeCell ref="D531:G531"/>
    <mergeCell ref="D532:G532"/>
    <mergeCell ref="D533:G533"/>
    <mergeCell ref="D534:G534"/>
    <mergeCell ref="D537:G537"/>
    <mergeCell ref="D539:G539"/>
    <mergeCell ref="D541:G541"/>
    <mergeCell ref="D543:G543"/>
    <mergeCell ref="D545:G545"/>
    <mergeCell ref="D547:G547"/>
    <mergeCell ref="D549:G549"/>
    <mergeCell ref="D551:G551"/>
    <mergeCell ref="D552:G552"/>
    <mergeCell ref="D554:G554"/>
    <mergeCell ref="D556:G556"/>
    <mergeCell ref="D558:G558"/>
    <mergeCell ref="D559:G559"/>
    <mergeCell ref="D561:G561"/>
    <mergeCell ref="D565:G565"/>
    <mergeCell ref="D566:G566"/>
    <mergeCell ref="D568:G568"/>
    <mergeCell ref="D570:G570"/>
    <mergeCell ref="D571:G571"/>
    <mergeCell ref="D574:G574"/>
    <mergeCell ref="D576:G576"/>
    <mergeCell ref="D577:G577"/>
    <mergeCell ref="D579:G579"/>
    <mergeCell ref="D583:G583"/>
    <mergeCell ref="D584:G584"/>
    <mergeCell ref="D586:G586"/>
    <mergeCell ref="D587:G587"/>
    <mergeCell ref="D589:G589"/>
    <mergeCell ref="D590:G590"/>
    <mergeCell ref="D593:G593"/>
    <mergeCell ref="D595:G595"/>
    <mergeCell ref="D597:G597"/>
    <mergeCell ref="D599:G599"/>
    <mergeCell ref="D603:G603"/>
    <mergeCell ref="D604:G604"/>
    <mergeCell ref="D606:G606"/>
    <mergeCell ref="D608:G608"/>
    <mergeCell ref="D610:G610"/>
    <mergeCell ref="D611:G611"/>
    <mergeCell ref="D613:G613"/>
    <mergeCell ref="D614:G614"/>
    <mergeCell ref="D615:G615"/>
    <mergeCell ref="D616:G616"/>
    <mergeCell ref="D618:G618"/>
    <mergeCell ref="D619:G619"/>
    <mergeCell ref="D621:G621"/>
    <mergeCell ref="D623:G623"/>
    <mergeCell ref="D625:G625"/>
    <mergeCell ref="D627:G627"/>
    <mergeCell ref="D629:G629"/>
    <mergeCell ref="D630:G630"/>
    <mergeCell ref="D632:G632"/>
    <mergeCell ref="D634:G634"/>
    <mergeCell ref="D636:G636"/>
    <mergeCell ref="D638:G638"/>
    <mergeCell ref="D639:G639"/>
    <mergeCell ref="D641:G641"/>
    <mergeCell ref="D642:G642"/>
    <mergeCell ref="D644:G644"/>
    <mergeCell ref="D648:G648"/>
    <mergeCell ref="D649:G649"/>
    <mergeCell ref="D650:G650"/>
    <mergeCell ref="D652:G652"/>
    <mergeCell ref="D653:G653"/>
    <mergeCell ref="D656:G656"/>
    <mergeCell ref="D657:G657"/>
    <mergeCell ref="D658:G658"/>
    <mergeCell ref="D661:G661"/>
    <mergeCell ref="D663:G663"/>
    <mergeCell ref="D664:G664"/>
    <mergeCell ref="D666:G666"/>
    <mergeCell ref="D670:G670"/>
    <mergeCell ref="D671:G671"/>
    <mergeCell ref="D673:G673"/>
    <mergeCell ref="D675:G675"/>
    <mergeCell ref="D676:G676"/>
    <mergeCell ref="D678:G678"/>
    <mergeCell ref="D679:G679"/>
    <mergeCell ref="D681:G681"/>
    <mergeCell ref="D683:G683"/>
    <mergeCell ref="D684:G684"/>
    <mergeCell ref="D687:G687"/>
    <mergeCell ref="D688:G688"/>
    <mergeCell ref="D690:G690"/>
    <mergeCell ref="D691:G691"/>
    <mergeCell ref="D693:G693"/>
    <mergeCell ref="D694:G694"/>
    <mergeCell ref="D696:G696"/>
    <mergeCell ref="D697:G697"/>
    <mergeCell ref="D699:G699"/>
    <mergeCell ref="D700:G700"/>
    <mergeCell ref="D701:G701"/>
    <mergeCell ref="D703:G703"/>
    <mergeCell ref="D705:G705"/>
    <mergeCell ref="D707:G707"/>
    <mergeCell ref="D708:G708"/>
    <mergeCell ref="D709:G709"/>
    <mergeCell ref="D711:G711"/>
    <mergeCell ref="D712:G712"/>
    <mergeCell ref="D714:G714"/>
    <mergeCell ref="D716:G716"/>
    <mergeCell ref="D718:G718"/>
    <mergeCell ref="D720:G720"/>
    <mergeCell ref="D721:G721"/>
    <mergeCell ref="D722:G722"/>
    <mergeCell ref="D724:G724"/>
    <mergeCell ref="D726:G726"/>
    <mergeCell ref="D729:G729"/>
    <mergeCell ref="D731:G731"/>
    <mergeCell ref="D733:G733"/>
    <mergeCell ref="D735:G735"/>
    <mergeCell ref="D736:G736"/>
    <mergeCell ref="D737:G737"/>
    <mergeCell ref="D739:G739"/>
    <mergeCell ref="D741:G741"/>
    <mergeCell ref="D743:G743"/>
    <mergeCell ref="D745:G745"/>
    <mergeCell ref="D747:G747"/>
    <mergeCell ref="D748:G748"/>
    <mergeCell ref="D751:G751"/>
    <mergeCell ref="D752:G752"/>
    <mergeCell ref="D754:G754"/>
    <mergeCell ref="D755:G755"/>
    <mergeCell ref="D756:G756"/>
    <mergeCell ref="D758:G758"/>
    <mergeCell ref="D760:G760"/>
    <mergeCell ref="D761:G761"/>
    <mergeCell ref="D762:G762"/>
    <mergeCell ref="D763:G763"/>
    <mergeCell ref="D765:G765"/>
    <mergeCell ref="D766:G766"/>
    <mergeCell ref="D768:G768"/>
    <mergeCell ref="D769:G769"/>
    <mergeCell ref="D772:G772"/>
    <mergeCell ref="D773:G773"/>
    <mergeCell ref="D775:G775"/>
    <mergeCell ref="D776:G776"/>
    <mergeCell ref="D778:G778"/>
    <mergeCell ref="D780:G780"/>
    <mergeCell ref="D781:G781"/>
    <mergeCell ref="D783:G783"/>
    <mergeCell ref="D786:G786"/>
    <mergeCell ref="D787:G787"/>
    <mergeCell ref="D789:G789"/>
    <mergeCell ref="D791:G791"/>
    <mergeCell ref="D792:G792"/>
    <mergeCell ref="D794:G794"/>
    <mergeCell ref="D795:G795"/>
    <mergeCell ref="D797:G797"/>
    <mergeCell ref="D798:G798"/>
    <mergeCell ref="D801:G801"/>
    <mergeCell ref="D803:G803"/>
    <mergeCell ref="D805:G805"/>
    <mergeCell ref="D806:G806"/>
    <mergeCell ref="D808:G808"/>
    <mergeCell ref="D809:G809"/>
    <mergeCell ref="D811:G811"/>
    <mergeCell ref="D813:G813"/>
    <mergeCell ref="D815:G815"/>
    <mergeCell ref="D816:G816"/>
    <mergeCell ref="D817:G817"/>
    <mergeCell ref="D818:G818"/>
    <mergeCell ref="D820:G820"/>
    <mergeCell ref="D821:G821"/>
    <mergeCell ref="D822:G822"/>
    <mergeCell ref="D824:G824"/>
    <mergeCell ref="D825:G825"/>
    <mergeCell ref="D827:G827"/>
    <mergeCell ref="D828:G828"/>
    <mergeCell ref="D830:G830"/>
    <mergeCell ref="D832:G832"/>
    <mergeCell ref="D834:G834"/>
    <mergeCell ref="D836:G836"/>
    <mergeCell ref="D838:G838"/>
    <mergeCell ref="D840:G840"/>
    <mergeCell ref="D842:G842"/>
    <mergeCell ref="D844:O844"/>
    <mergeCell ref="D845:G845"/>
    <mergeCell ref="D847:G847"/>
    <mergeCell ref="D849:O849"/>
    <mergeCell ref="D850:G850"/>
    <mergeCell ref="D852:G852"/>
    <mergeCell ref="D854:G854"/>
    <mergeCell ref="D856:O856"/>
    <mergeCell ref="D857:G857"/>
    <mergeCell ref="D859:G859"/>
    <mergeCell ref="D860:G860"/>
    <mergeCell ref="D862:G862"/>
    <mergeCell ref="D864:G864"/>
    <mergeCell ref="D866:G866"/>
    <mergeCell ref="D868:G868"/>
    <mergeCell ref="D870:O870"/>
    <mergeCell ref="D871:G871"/>
    <mergeCell ref="D873:O873"/>
    <mergeCell ref="D874:G874"/>
    <mergeCell ref="D876:O876"/>
    <mergeCell ref="D877:G877"/>
    <mergeCell ref="D879:O879"/>
    <mergeCell ref="D880:G880"/>
    <mergeCell ref="D882:G882"/>
    <mergeCell ref="D883:G883"/>
    <mergeCell ref="D885:O885"/>
    <mergeCell ref="D886:G886"/>
    <mergeCell ref="D887:G887"/>
    <mergeCell ref="D889:G889"/>
    <mergeCell ref="D891:G891"/>
    <mergeCell ref="D892:G892"/>
    <mergeCell ref="D894:G894"/>
    <mergeCell ref="D895:G895"/>
    <mergeCell ref="D897:O897"/>
    <mergeCell ref="D898:G898"/>
    <mergeCell ref="D899:G899"/>
    <mergeCell ref="D901:G901"/>
    <mergeCell ref="D902:G902"/>
    <mergeCell ref="D904:G904"/>
    <mergeCell ref="D906:G906"/>
    <mergeCell ref="D907:G907"/>
    <mergeCell ref="D909:G909"/>
    <mergeCell ref="D910:G910"/>
    <mergeCell ref="D911:G911"/>
    <mergeCell ref="D913:O913"/>
    <mergeCell ref="D914:G914"/>
    <mergeCell ref="D915:G915"/>
    <mergeCell ref="D916:G916"/>
    <mergeCell ref="D918:G918"/>
    <mergeCell ref="D920:G920"/>
    <mergeCell ref="D922:O922"/>
    <mergeCell ref="D923:G923"/>
    <mergeCell ref="D925:G925"/>
    <mergeCell ref="D927:G927"/>
    <mergeCell ref="D929:G929"/>
    <mergeCell ref="D930:G930"/>
    <mergeCell ref="D932:G932"/>
    <mergeCell ref="D933:G933"/>
    <mergeCell ref="D935:G935"/>
    <mergeCell ref="D937:G937"/>
    <mergeCell ref="D939:G939"/>
    <mergeCell ref="D940:G940"/>
    <mergeCell ref="D942:G942"/>
    <mergeCell ref="D944:G944"/>
    <mergeCell ref="D946:G946"/>
    <mergeCell ref="D947:G947"/>
    <mergeCell ref="D949:O949"/>
    <mergeCell ref="D950:G950"/>
    <mergeCell ref="D952:O952"/>
    <mergeCell ref="D953:G953"/>
    <mergeCell ref="D955:O955"/>
    <mergeCell ref="D956:G956"/>
    <mergeCell ref="D958:O958"/>
    <mergeCell ref="D959:G959"/>
    <mergeCell ref="D960:G960"/>
    <mergeCell ref="D962:G962"/>
    <mergeCell ref="D964:G964"/>
    <mergeCell ref="D966:G966"/>
    <mergeCell ref="D968:G968"/>
    <mergeCell ref="D970:G970"/>
    <mergeCell ref="D972:G972"/>
    <mergeCell ref="D974:G974"/>
    <mergeCell ref="D976:G976"/>
    <mergeCell ref="D978:G978"/>
    <mergeCell ref="D980:G980"/>
    <mergeCell ref="D982:G982"/>
    <mergeCell ref="D983:G983"/>
    <mergeCell ref="D984:G984"/>
    <mergeCell ref="D986:G986"/>
    <mergeCell ref="D988:G988"/>
    <mergeCell ref="D989:G989"/>
    <mergeCell ref="D991:G991"/>
    <mergeCell ref="D992:G992"/>
    <mergeCell ref="D993:G993"/>
    <mergeCell ref="D995:G995"/>
    <mergeCell ref="D996:G996"/>
    <mergeCell ref="D998:G998"/>
    <mergeCell ref="D999:G999"/>
    <mergeCell ref="D1001:G1001"/>
    <mergeCell ref="D1003:G1003"/>
    <mergeCell ref="D1004:G1004"/>
    <mergeCell ref="D1006:G1006"/>
    <mergeCell ref="D1007:G1007"/>
    <mergeCell ref="D1009:O1009"/>
    <mergeCell ref="D1010:G1010"/>
    <mergeCell ref="D1012:G1012"/>
    <mergeCell ref="D1013:G1013"/>
    <mergeCell ref="D1014:G1014"/>
    <mergeCell ref="D1016:G1016"/>
    <mergeCell ref="D1018:G1018"/>
    <mergeCell ref="D1020:G1020"/>
    <mergeCell ref="D1021:G1021"/>
    <mergeCell ref="D1023:G1023"/>
    <mergeCell ref="D1024:G1024"/>
    <mergeCell ref="D1026:G1026"/>
    <mergeCell ref="D1028:G1028"/>
    <mergeCell ref="D1029:G1029"/>
    <mergeCell ref="D1031:G1031"/>
    <mergeCell ref="D1033:G1033"/>
    <mergeCell ref="D1034:G1034"/>
    <mergeCell ref="D1036:O1036"/>
    <mergeCell ref="D1037:G1037"/>
    <mergeCell ref="D1038:G1038"/>
    <mergeCell ref="D1039:G1039"/>
    <mergeCell ref="D1042:G1042"/>
    <mergeCell ref="D1044:G1044"/>
    <mergeCell ref="D1046:G1046"/>
    <mergeCell ref="D1047:G1047"/>
    <mergeCell ref="D1049:G1049"/>
    <mergeCell ref="D1050:G1050"/>
    <mergeCell ref="D1052:G1052"/>
    <mergeCell ref="D1054:G1054"/>
    <mergeCell ref="D1055:G1055"/>
    <mergeCell ref="D1058:G1058"/>
    <mergeCell ref="D1061:G1061"/>
    <mergeCell ref="D1062:G1062"/>
    <mergeCell ref="D1065:G1065"/>
    <mergeCell ref="D1067:G1067"/>
    <mergeCell ref="D1069:G1069"/>
    <mergeCell ref="D1085:G1085"/>
    <mergeCell ref="K1087:L1087"/>
    <mergeCell ref="A1089:O1089"/>
    <mergeCell ref="D1071:G1071"/>
    <mergeCell ref="D1074:G1074"/>
    <mergeCell ref="D1076:G1076"/>
    <mergeCell ref="D1078:G1078"/>
    <mergeCell ref="D1080:G1080"/>
    <mergeCell ref="D1082:G1082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1838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24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SUMIF('Stavební rozpočet'!AI12:AI1086,"SO 305",'Stavební rozpočet'!AB12:AB1086)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SUMIF('Stavební rozpočet'!AI12:AI1086,"SO 305",'Stavební rozpočet'!AC12:AC1086)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SUMIF('Stavební rozpočet'!AI12:AI1086,"SO 305",'Stavební rozpočet'!AD12:AD1086)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SUMIF('Stavební rozpočet'!AI12:AI1086,"SO 305",'Stavební rozpočet'!AE12:AE1086)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SUMIF('Stavební rozpočet'!AI12:AI1086,"SO 305",'Stavební rozpočet'!AF12:AF1086)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SUMIF('Stavební rozpočet'!AI12:AI1086,"SO 305",'Stavební rozpočet'!AG12:AG1086)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SUMIF('Stavební rozpočet'!AI12:AI1086,"SO 305",'Stavební rozpočet'!AH12:AH1086)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11">
        <f>SUMIF('Stavební rozpočet'!AI12:AI1086,"SO 305",'Stavební rozpočet'!Z12:Z1086)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11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25">
        <f>SUM(I14:I21)</f>
        <v>0</v>
      </c>
    </row>
    <row r="23" spans="7:8" ht="15" customHeight="1">
      <c r="G23" s="101" t="s">
        <v>1159</v>
      </c>
      <c r="H23" s="100"/>
    </row>
    <row r="25" spans="1:3" ht="15" customHeight="1">
      <c r="A25" s="90" t="s">
        <v>659</v>
      </c>
      <c r="B25" s="91"/>
      <c r="C25" s="47">
        <f>('Stavební rozpočet'!AS762+'Stavební rozpočet'!AS768+'Stavební rozpočet'!AS772+'Stavební rozpočet'!AS775+'Stavební rozpočet'!AS780+'Stavební rozpočet'!AS786+'Stavební rozpočet'!AS791+'Stavební rozpočet'!AS794+'Stavební rozpočet'!AS797+'Stavební rozpočet'!AS808+'Stavební rozpočet'!AS817)</f>
        <v>0</v>
      </c>
    </row>
    <row r="26" spans="1:9" ht="15" customHeight="1">
      <c r="A26" s="92" t="s">
        <v>35</v>
      </c>
      <c r="B26" s="93"/>
      <c r="C26" s="59">
        <f>('Stavební rozpočet'!AT762+'Stavební rozpočet'!AT768+'Stavební rozpočet'!AT772+'Stavební rozpočet'!AT775+'Stavební rozpočet'!AT780+'Stavební rozpočet'!AT786+'Stavební rozpočet'!AT791+'Stavební rozpočet'!AT794+'Stavební rozpočet'!AT797+'Stavební rozpočet'!AT808+'Stavební rozpočet'!AT817)</f>
        <v>0</v>
      </c>
      <c r="D26" s="91" t="s">
        <v>345</v>
      </c>
      <c r="E26" s="91"/>
      <c r="F26" s="47">
        <f>ROUND(C26*(15/100),2)</f>
        <v>0</v>
      </c>
      <c r="G26" s="91" t="s">
        <v>234</v>
      </c>
      <c r="H26" s="91"/>
      <c r="I26" s="47">
        <f>SUM(C25:C27)</f>
        <v>0</v>
      </c>
    </row>
    <row r="27" spans="1:9" ht="15" customHeight="1">
      <c r="A27" s="92" t="s">
        <v>77</v>
      </c>
      <c r="B27" s="93"/>
      <c r="C27" s="59">
        <f>('Stavební rozpočet'!AU762+'Stavební rozpočet'!AU768+'Stavební rozpočet'!AU772+'Stavební rozpočet'!AU775+'Stavební rozpočet'!AU780+'Stavební rozpočet'!AU786+'Stavební rozpočet'!AU791+'Stavební rozpočet'!AU794+'Stavební rozpočet'!AU797+'Stavební rozpočet'!AU808+'Stavební rozpočet'!AU817)</f>
        <v>0</v>
      </c>
      <c r="D27" s="93" t="s">
        <v>1250</v>
      </c>
      <c r="E27" s="93"/>
      <c r="F27" s="59">
        <f>ROUND(C27*(21/100),2)</f>
        <v>0</v>
      </c>
      <c r="G27" s="93" t="s">
        <v>650</v>
      </c>
      <c r="H27" s="93"/>
      <c r="I27" s="59">
        <f>SUM(F26:F27)+I26</f>
        <v>0</v>
      </c>
    </row>
    <row r="29" spans="1:9" ht="15" customHeight="1">
      <c r="A29" s="87" t="s">
        <v>26</v>
      </c>
      <c r="B29" s="81"/>
      <c r="C29" s="82"/>
      <c r="D29" s="81" t="s">
        <v>1578</v>
      </c>
      <c r="E29" s="81"/>
      <c r="F29" s="82"/>
      <c r="G29" s="81" t="s">
        <v>1141</v>
      </c>
      <c r="H29" s="81"/>
      <c r="I29" s="82"/>
    </row>
    <row r="30" spans="1:9" ht="15" customHeight="1">
      <c r="A30" s="88" t="s">
        <v>1163</v>
      </c>
      <c r="B30" s="83"/>
      <c r="C30" s="84"/>
      <c r="D30" s="83" t="s">
        <v>1163</v>
      </c>
      <c r="E30" s="83"/>
      <c r="F30" s="84"/>
      <c r="G30" s="83" t="s">
        <v>1163</v>
      </c>
      <c r="H30" s="83"/>
      <c r="I30" s="84"/>
    </row>
    <row r="31" spans="1:9" ht="15" customHeight="1">
      <c r="A31" s="88" t="s">
        <v>1163</v>
      </c>
      <c r="B31" s="83"/>
      <c r="C31" s="84"/>
      <c r="D31" s="83" t="s">
        <v>1163</v>
      </c>
      <c r="E31" s="83"/>
      <c r="F31" s="84"/>
      <c r="G31" s="83" t="s">
        <v>1163</v>
      </c>
      <c r="H31" s="83"/>
      <c r="I31" s="84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9" t="s">
        <v>307</v>
      </c>
      <c r="B33" s="85"/>
      <c r="C33" s="86"/>
      <c r="D33" s="85" t="s">
        <v>307</v>
      </c>
      <c r="E33" s="85"/>
      <c r="F33" s="86"/>
      <c r="G33" s="85" t="s">
        <v>307</v>
      </c>
      <c r="H33" s="85"/>
      <c r="I33" s="86"/>
    </row>
    <row r="34" ht="15" customHeight="1">
      <c r="A34" s="44" t="s">
        <v>144</v>
      </c>
    </row>
    <row r="35" spans="1:9" ht="12.75" customHeight="1">
      <c r="A35" s="63" t="s">
        <v>1163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5:B25"/>
    <mergeCell ref="A26:B26"/>
    <mergeCell ref="A27:B27"/>
    <mergeCell ref="D26:E26"/>
    <mergeCell ref="D27:E27"/>
    <mergeCell ref="G26:H26"/>
    <mergeCell ref="G27:H27"/>
    <mergeCell ref="A33:C33"/>
    <mergeCell ref="D29:F29"/>
    <mergeCell ref="D30:F30"/>
    <mergeCell ref="D31:F31"/>
    <mergeCell ref="D32:F32"/>
    <mergeCell ref="D33:F3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711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37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SUMIF('Stavební rozpočet'!AI12:AI1086,"SO 800",'Stavební rozpočet'!AB12:AB1086)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SUMIF('Stavební rozpočet'!AI12:AI1086,"SO 800",'Stavební rozpočet'!AC12:AC1086)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SUMIF('Stavební rozpočet'!AI12:AI1086,"SO 800",'Stavební rozpočet'!AD12:AD1086)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SUMIF('Stavební rozpočet'!AI12:AI1086,"SO 800",'Stavební rozpočet'!AE12:AE1086)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SUMIF('Stavební rozpočet'!AI12:AI1086,"SO 800",'Stavební rozpočet'!AF12:AF1086)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SUMIF('Stavební rozpočet'!AI12:AI1086,"SO 800",'Stavební rozpočet'!AG12:AG1086)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SUMIF('Stavební rozpočet'!AI12:AI1086,"SO 800",'Stavební rozpočet'!AH12:AH1086)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11">
        <f>SUMIF('Stavební rozpočet'!AI12:AI1086,"SO 800",'Stavební rozpočet'!Z12:Z1086)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11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25">
        <f>SUM(I14:I21)</f>
        <v>0</v>
      </c>
    </row>
    <row r="23" spans="7:8" ht="15" customHeight="1">
      <c r="G23" s="101" t="s">
        <v>1159</v>
      </c>
      <c r="H23" s="100"/>
    </row>
    <row r="25" spans="1:3" ht="15" customHeight="1">
      <c r="A25" s="90" t="s">
        <v>659</v>
      </c>
      <c r="B25" s="91"/>
      <c r="C25" s="47">
        <f>('Stavební rozpočet'!AS821+'Stavební rozpočet'!AS824+'Stavební rozpočet'!AS827+'Stavební rozpočet'!AS886+'Stavební rozpočet'!AS891+'Stavební rozpočet'!AS894+'Stavební rozpočet'!AS898+'Stavební rozpočet'!AS901+'Stavební rozpočet'!AS906+'Stavební rozpočet'!AS909+'Stavební rozpočet'!AS910)</f>
        <v>0</v>
      </c>
    </row>
    <row r="26" spans="1:9" ht="15" customHeight="1">
      <c r="A26" s="92" t="s">
        <v>35</v>
      </c>
      <c r="B26" s="93"/>
      <c r="C26" s="59">
        <f>('Stavební rozpočet'!AT821+'Stavební rozpočet'!AT824+'Stavební rozpočet'!AT827+'Stavební rozpočet'!AT886+'Stavební rozpočet'!AT891+'Stavební rozpočet'!AT894+'Stavební rozpočet'!AT898+'Stavební rozpočet'!AT901+'Stavební rozpočet'!AT906+'Stavební rozpočet'!AT909+'Stavební rozpočet'!AT910)</f>
        <v>0</v>
      </c>
      <c r="D26" s="91" t="s">
        <v>345</v>
      </c>
      <c r="E26" s="91"/>
      <c r="F26" s="47">
        <f>ROUND(C26*(15/100),2)</f>
        <v>0</v>
      </c>
      <c r="G26" s="91" t="s">
        <v>234</v>
      </c>
      <c r="H26" s="91"/>
      <c r="I26" s="47">
        <f>SUM(C25:C27)</f>
        <v>0</v>
      </c>
    </row>
    <row r="27" spans="1:9" ht="15" customHeight="1">
      <c r="A27" s="92" t="s">
        <v>77</v>
      </c>
      <c r="B27" s="93"/>
      <c r="C27" s="59">
        <f>('Stavební rozpočet'!AU821+'Stavební rozpočet'!AU824+'Stavební rozpočet'!AU827+'Stavební rozpočet'!AU886+'Stavební rozpočet'!AU891+'Stavební rozpočet'!AU894+'Stavební rozpočet'!AU898+'Stavební rozpočet'!AU901+'Stavební rozpočet'!AU906+'Stavební rozpočet'!AU909+'Stavební rozpočet'!AU910)</f>
        <v>0</v>
      </c>
      <c r="D27" s="93" t="s">
        <v>1250</v>
      </c>
      <c r="E27" s="93"/>
      <c r="F27" s="59">
        <f>ROUND(C27*(21/100),2)</f>
        <v>0</v>
      </c>
      <c r="G27" s="93" t="s">
        <v>650</v>
      </c>
      <c r="H27" s="93"/>
      <c r="I27" s="59">
        <f>SUM(F26:F27)+I26</f>
        <v>0</v>
      </c>
    </row>
    <row r="29" spans="1:9" ht="15" customHeight="1">
      <c r="A29" s="87" t="s">
        <v>26</v>
      </c>
      <c r="B29" s="81"/>
      <c r="C29" s="82"/>
      <c r="D29" s="81" t="s">
        <v>1578</v>
      </c>
      <c r="E29" s="81"/>
      <c r="F29" s="82"/>
      <c r="G29" s="81" t="s">
        <v>1141</v>
      </c>
      <c r="H29" s="81"/>
      <c r="I29" s="82"/>
    </row>
    <row r="30" spans="1:9" ht="15" customHeight="1">
      <c r="A30" s="88" t="s">
        <v>1163</v>
      </c>
      <c r="B30" s="83"/>
      <c r="C30" s="84"/>
      <c r="D30" s="83" t="s">
        <v>1163</v>
      </c>
      <c r="E30" s="83"/>
      <c r="F30" s="84"/>
      <c r="G30" s="83" t="s">
        <v>1163</v>
      </c>
      <c r="H30" s="83"/>
      <c r="I30" s="84"/>
    </row>
    <row r="31" spans="1:9" ht="15" customHeight="1">
      <c r="A31" s="88" t="s">
        <v>1163</v>
      </c>
      <c r="B31" s="83"/>
      <c r="C31" s="84"/>
      <c r="D31" s="83" t="s">
        <v>1163</v>
      </c>
      <c r="E31" s="83"/>
      <c r="F31" s="84"/>
      <c r="G31" s="83" t="s">
        <v>1163</v>
      </c>
      <c r="H31" s="83"/>
      <c r="I31" s="84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9" t="s">
        <v>307</v>
      </c>
      <c r="B33" s="85"/>
      <c r="C33" s="86"/>
      <c r="D33" s="85" t="s">
        <v>307</v>
      </c>
      <c r="E33" s="85"/>
      <c r="F33" s="86"/>
      <c r="G33" s="85" t="s">
        <v>307</v>
      </c>
      <c r="H33" s="85"/>
      <c r="I33" s="86"/>
    </row>
    <row r="34" ht="15" customHeight="1">
      <c r="A34" s="44" t="s">
        <v>144</v>
      </c>
    </row>
    <row r="35" spans="1:9" ht="12.75" customHeight="1">
      <c r="A35" s="63" t="s">
        <v>1163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5:B25"/>
    <mergeCell ref="A26:B26"/>
    <mergeCell ref="A27:B27"/>
    <mergeCell ref="D26:E26"/>
    <mergeCell ref="D27:E27"/>
    <mergeCell ref="G26:H26"/>
    <mergeCell ref="G27:H27"/>
    <mergeCell ref="A33:C33"/>
    <mergeCell ref="D29:F29"/>
    <mergeCell ref="D30:F30"/>
    <mergeCell ref="D31:F31"/>
    <mergeCell ref="D32:F32"/>
    <mergeCell ref="D33:F3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1455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51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SUMIF('Stavební rozpočet'!AI12:AI1086,"SO100b",'Stavební rozpočet'!AB12:AB1086)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SUMIF('Stavební rozpočet'!AI12:AI1086,"SO100b",'Stavební rozpočet'!AC12:AC1086)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SUMIF('Stavební rozpočet'!AI12:AI1086,"SO100b",'Stavební rozpočet'!AD12:AD1086)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SUMIF('Stavební rozpočet'!AI12:AI1086,"SO100b",'Stavební rozpočet'!AE12:AE1086)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SUMIF('Stavební rozpočet'!AI12:AI1086,"SO100b",'Stavební rozpočet'!AF12:AF1086)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SUMIF('Stavební rozpočet'!AI12:AI1086,"SO100b",'Stavební rozpočet'!AG12:AG1086)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SUMIF('Stavební rozpočet'!AI12:AI1086,"SO100b",'Stavební rozpočet'!AH12:AH1086)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11">
        <f>SUMIF('Stavební rozpočet'!AI12:AI1086,"SO100b",'Stavební rozpočet'!Z12:Z1086)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11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25">
        <f>SUM(I14:I21)</f>
        <v>0</v>
      </c>
    </row>
    <row r="23" spans="7:8" ht="15" customHeight="1">
      <c r="G23" s="101" t="s">
        <v>1159</v>
      </c>
      <c r="H23" s="100"/>
    </row>
    <row r="25" spans="1:3" ht="15" customHeight="1">
      <c r="A25" s="90" t="s">
        <v>659</v>
      </c>
      <c r="B25" s="91"/>
      <c r="C25" s="47">
        <f>('Stavební rozpočet'!AS915+'Stavební rozpočet'!AS929+'Stavební rozpočet'!AS932+'Stavební rozpočet'!AS939+'Stavební rozpočet'!AS946+'Stavební rozpočet'!AS959+'Stavební rozpočet'!AS982+'Stavební rozpočet'!AS988+'Stavební rozpočet'!AS992+'Stavební rozpočet'!AS995+'Stavební rozpočet'!AS1006+'Stavební rozpočet'!AS1012+'Stavební rozpočet'!AS1013+'Stavební rozpočet'!AS1020+'Stavební rozpočet'!AS1023+'Stavební rozpočet'!AS1028+'Stavební rozpočet'!AS1033)</f>
        <v>0</v>
      </c>
    </row>
    <row r="26" spans="1:9" ht="15" customHeight="1">
      <c r="A26" s="92" t="s">
        <v>35</v>
      </c>
      <c r="B26" s="93"/>
      <c r="C26" s="59">
        <f>('Stavební rozpočet'!AT915+'Stavební rozpočet'!AT929+'Stavební rozpočet'!AT932+'Stavební rozpočet'!AT939+'Stavební rozpočet'!AT946+'Stavební rozpočet'!AT959+'Stavební rozpočet'!AT982+'Stavební rozpočet'!AT988+'Stavební rozpočet'!AT992+'Stavební rozpočet'!AT995+'Stavební rozpočet'!AT1006+'Stavební rozpočet'!AT1012+'Stavební rozpočet'!AT1013+'Stavební rozpočet'!AT1020+'Stavební rozpočet'!AT1023+'Stavební rozpočet'!AT1028+'Stavební rozpočet'!AT1033)</f>
        <v>0</v>
      </c>
      <c r="D26" s="91" t="s">
        <v>345</v>
      </c>
      <c r="E26" s="91"/>
      <c r="F26" s="47">
        <f>ROUND(C26*(15/100),2)</f>
        <v>0</v>
      </c>
      <c r="G26" s="91" t="s">
        <v>234</v>
      </c>
      <c r="H26" s="91"/>
      <c r="I26" s="47">
        <f>SUM(C25:C27)</f>
        <v>0</v>
      </c>
    </row>
    <row r="27" spans="1:9" ht="15" customHeight="1">
      <c r="A27" s="92" t="s">
        <v>77</v>
      </c>
      <c r="B27" s="93"/>
      <c r="C27" s="59">
        <f>('Stavební rozpočet'!AU915+'Stavební rozpočet'!AU929+'Stavební rozpočet'!AU932+'Stavební rozpočet'!AU939+'Stavební rozpočet'!AU946+'Stavební rozpočet'!AU959+'Stavební rozpočet'!AU982+'Stavební rozpočet'!AU988+'Stavební rozpočet'!AU992+'Stavební rozpočet'!AU995+'Stavební rozpočet'!AU1006+'Stavební rozpočet'!AU1012+'Stavební rozpočet'!AU1013+'Stavební rozpočet'!AU1020+'Stavební rozpočet'!AU1023+'Stavební rozpočet'!AU1028+'Stavební rozpočet'!AU1033)</f>
        <v>0</v>
      </c>
      <c r="D27" s="93" t="s">
        <v>1250</v>
      </c>
      <c r="E27" s="93"/>
      <c r="F27" s="59">
        <f>ROUND(C27*(21/100),2)</f>
        <v>0</v>
      </c>
      <c r="G27" s="93" t="s">
        <v>650</v>
      </c>
      <c r="H27" s="93"/>
      <c r="I27" s="59">
        <f>SUM(F26:F27)+I26</f>
        <v>0</v>
      </c>
    </row>
    <row r="29" spans="1:9" ht="15" customHeight="1">
      <c r="A29" s="87" t="s">
        <v>26</v>
      </c>
      <c r="B29" s="81"/>
      <c r="C29" s="82"/>
      <c r="D29" s="81" t="s">
        <v>1578</v>
      </c>
      <c r="E29" s="81"/>
      <c r="F29" s="82"/>
      <c r="G29" s="81" t="s">
        <v>1141</v>
      </c>
      <c r="H29" s="81"/>
      <c r="I29" s="82"/>
    </row>
    <row r="30" spans="1:9" ht="15" customHeight="1">
      <c r="A30" s="88" t="s">
        <v>1163</v>
      </c>
      <c r="B30" s="83"/>
      <c r="C30" s="84"/>
      <c r="D30" s="83" t="s">
        <v>1163</v>
      </c>
      <c r="E30" s="83"/>
      <c r="F30" s="84"/>
      <c r="G30" s="83" t="s">
        <v>1163</v>
      </c>
      <c r="H30" s="83"/>
      <c r="I30" s="84"/>
    </row>
    <row r="31" spans="1:9" ht="15" customHeight="1">
      <c r="A31" s="88" t="s">
        <v>1163</v>
      </c>
      <c r="B31" s="83"/>
      <c r="C31" s="84"/>
      <c r="D31" s="83" t="s">
        <v>1163</v>
      </c>
      <c r="E31" s="83"/>
      <c r="F31" s="84"/>
      <c r="G31" s="83" t="s">
        <v>1163</v>
      </c>
      <c r="H31" s="83"/>
      <c r="I31" s="84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9" t="s">
        <v>307</v>
      </c>
      <c r="B33" s="85"/>
      <c r="C33" s="86"/>
      <c r="D33" s="85" t="s">
        <v>307</v>
      </c>
      <c r="E33" s="85"/>
      <c r="F33" s="86"/>
      <c r="G33" s="85" t="s">
        <v>307</v>
      </c>
      <c r="H33" s="85"/>
      <c r="I33" s="86"/>
    </row>
    <row r="34" ht="15" customHeight="1">
      <c r="A34" s="44" t="s">
        <v>144</v>
      </c>
    </row>
    <row r="35" spans="1:9" ht="12.75" customHeight="1">
      <c r="A35" s="63" t="s">
        <v>1163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5:B25"/>
    <mergeCell ref="A26:B26"/>
    <mergeCell ref="A27:B27"/>
    <mergeCell ref="D26:E26"/>
    <mergeCell ref="D27:E27"/>
    <mergeCell ref="G26:H26"/>
    <mergeCell ref="G27:H27"/>
    <mergeCell ref="A33:C33"/>
    <mergeCell ref="D29:F29"/>
    <mergeCell ref="D30:F30"/>
    <mergeCell ref="D31:F31"/>
    <mergeCell ref="D32:F32"/>
    <mergeCell ref="D33:F3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321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19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SUMIF('Stavební rozpočet'!AI12:AI1086,"SO304.1",'Stavební rozpočet'!AB12:AB1086)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SUMIF('Stavební rozpočet'!AI12:AI1086,"SO304.1",'Stavební rozpočet'!AC12:AC1086)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SUMIF('Stavební rozpočet'!AI12:AI1086,"SO304.1",'Stavební rozpočet'!AD12:AD1086)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SUMIF('Stavební rozpočet'!AI12:AI1086,"SO304.1",'Stavební rozpočet'!AE12:AE1086)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SUMIF('Stavební rozpočet'!AI12:AI1086,"SO304.1",'Stavební rozpočet'!AF12:AF1086)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SUMIF('Stavební rozpočet'!AI12:AI1086,"SO304.1",'Stavební rozpočet'!AG12:AG1086)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SUMIF('Stavební rozpočet'!AI12:AI1086,"SO304.1",'Stavební rozpočet'!AH12:AH1086)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11">
        <f>SUMIF('Stavební rozpočet'!AI12:AI1086,"SO304.1",'Stavební rozpočet'!Z12:Z1086)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11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4" t="s">
        <v>871</v>
      </c>
    </row>
    <row r="23" spans="7:8" ht="15" customHeight="1">
      <c r="G23" s="101" t="s">
        <v>1159</v>
      </c>
      <c r="H23" s="100"/>
    </row>
    <row r="25" spans="1:3" ht="15" customHeight="1">
      <c r="A25" s="90" t="s">
        <v>659</v>
      </c>
      <c r="B25" s="91"/>
      <c r="C25" s="47">
        <f>('Stavební rozpočet'!AS1038+'Stavební rozpočet'!AS1046+'Stavební rozpočet'!AS1049+'Stavební rozpočet'!AS1054+'Stavební rozpočet'!AS1061)</f>
        <v>0</v>
      </c>
    </row>
    <row r="26" spans="1:9" ht="15" customHeight="1">
      <c r="A26" s="92" t="s">
        <v>35</v>
      </c>
      <c r="B26" s="93"/>
      <c r="C26" s="59">
        <f>('Stavební rozpočet'!AT1038+'Stavební rozpočet'!AT1046+'Stavební rozpočet'!AT1049+'Stavební rozpočet'!AT1054+'Stavební rozpočet'!AT1061)</f>
        <v>0</v>
      </c>
      <c r="D26" s="91" t="s">
        <v>345</v>
      </c>
      <c r="E26" s="91"/>
      <c r="F26" s="47">
        <f>ROUND(C26*(15/100),2)</f>
        <v>0</v>
      </c>
      <c r="G26" s="91" t="s">
        <v>234</v>
      </c>
      <c r="H26" s="91"/>
      <c r="I26" s="47">
        <f>SUM(C25:C27)</f>
        <v>0</v>
      </c>
    </row>
    <row r="27" spans="1:9" ht="15" customHeight="1">
      <c r="A27" s="92" t="s">
        <v>77</v>
      </c>
      <c r="B27" s="93"/>
      <c r="C27" s="59">
        <f>('Stavební rozpočet'!AU1038+'Stavební rozpočet'!AU1046+'Stavební rozpočet'!AU1049+'Stavební rozpočet'!AU1054+'Stavební rozpočet'!AU1061)</f>
        <v>0</v>
      </c>
      <c r="D27" s="93" t="s">
        <v>1250</v>
      </c>
      <c r="E27" s="93"/>
      <c r="F27" s="59">
        <f>ROUND(C27*(21/100),2)</f>
        <v>0</v>
      </c>
      <c r="G27" s="93" t="s">
        <v>650</v>
      </c>
      <c r="H27" s="93"/>
      <c r="I27" s="59">
        <f>SUM(F26:F27)+I26</f>
        <v>0</v>
      </c>
    </row>
    <row r="29" spans="1:9" ht="15" customHeight="1">
      <c r="A29" s="87" t="s">
        <v>26</v>
      </c>
      <c r="B29" s="81"/>
      <c r="C29" s="82"/>
      <c r="D29" s="81" t="s">
        <v>1578</v>
      </c>
      <c r="E29" s="81"/>
      <c r="F29" s="82"/>
      <c r="G29" s="81" t="s">
        <v>1141</v>
      </c>
      <c r="H29" s="81"/>
      <c r="I29" s="82"/>
    </row>
    <row r="30" spans="1:9" ht="15" customHeight="1">
      <c r="A30" s="88" t="s">
        <v>1163</v>
      </c>
      <c r="B30" s="83"/>
      <c r="C30" s="84"/>
      <c r="D30" s="83" t="s">
        <v>1163</v>
      </c>
      <c r="E30" s="83"/>
      <c r="F30" s="84"/>
      <c r="G30" s="83" t="s">
        <v>1163</v>
      </c>
      <c r="H30" s="83"/>
      <c r="I30" s="84"/>
    </row>
    <row r="31" spans="1:9" ht="15" customHeight="1">
      <c r="A31" s="88" t="s">
        <v>1163</v>
      </c>
      <c r="B31" s="83"/>
      <c r="C31" s="84"/>
      <c r="D31" s="83" t="s">
        <v>1163</v>
      </c>
      <c r="E31" s="83"/>
      <c r="F31" s="84"/>
      <c r="G31" s="83" t="s">
        <v>1163</v>
      </c>
      <c r="H31" s="83"/>
      <c r="I31" s="84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9" t="s">
        <v>307</v>
      </c>
      <c r="B33" s="85"/>
      <c r="C33" s="86"/>
      <c r="D33" s="85" t="s">
        <v>307</v>
      </c>
      <c r="E33" s="85"/>
      <c r="F33" s="86"/>
      <c r="G33" s="85" t="s">
        <v>307</v>
      </c>
      <c r="H33" s="85"/>
      <c r="I33" s="86"/>
    </row>
    <row r="34" ht="15" customHeight="1">
      <c r="A34" s="44" t="s">
        <v>144</v>
      </c>
    </row>
    <row r="35" spans="1:9" ht="12.75" customHeight="1">
      <c r="A35" s="63" t="s">
        <v>1163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5:B25"/>
    <mergeCell ref="A26:B26"/>
    <mergeCell ref="A27:B27"/>
    <mergeCell ref="D26:E26"/>
    <mergeCell ref="D27:E27"/>
    <mergeCell ref="G26:H26"/>
    <mergeCell ref="G27:H27"/>
    <mergeCell ref="A33:C33"/>
    <mergeCell ref="D29:F29"/>
    <mergeCell ref="D30:F30"/>
    <mergeCell ref="D31:F31"/>
    <mergeCell ref="D32:F32"/>
    <mergeCell ref="D33:F3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355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464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SUM('Stavební rozpočet'!AB12:AB1086)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SUM('Stavební rozpočet'!AC12:AC1086)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SUM('Stavební rozpočet'!AD12:AD1086)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SUM('Stavební rozpočet'!AE12:AE1086)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SUM('Stavební rozpočet'!AF12:AF1086)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SUM('Stavební rozpočet'!AG12:AG1086)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SUM('Stavební rozpočet'!AH12:AH1086)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54">
        <f>SUM('Stavební rozpočet'!Z12:Z1086)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25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25">
        <f>SUM(I14:I21)</f>
        <v>0</v>
      </c>
    </row>
    <row r="23" spans="4:9" ht="15" customHeight="1">
      <c r="D23" s="101" t="s">
        <v>1334</v>
      </c>
      <c r="E23" s="100"/>
      <c r="F23" s="11">
        <f>'Krycí list rozpočtu (SO)'!F22+'Krycí list rozpočtu (SO 100)'!F22+'Krycí list rozpočtu (SO 100a)'!F22+'Krycí list rozpočtu (SO 301)'!F22+'Krycí list rozpočtu (SO 302)'!F22+'Krycí list rozpočtu (SO 303)'!F22+'Krycí list rozpočtu (SO 304)'!F22+'Krycí list rozpočtu (SO 305)'!F22+'Krycí list rozpočtu (SO 800)'!F22+'Krycí list rozpočtu (SO100b)'!F22+'Krycí list rozpočtu (SO304.1)'!F22</f>
        <v>0</v>
      </c>
      <c r="G23" s="99" t="s">
        <v>86</v>
      </c>
      <c r="H23" s="100"/>
      <c r="I23" s="11">
        <f>'Krycí list rozpočtu (SO)'!I22+'Krycí list rozpočtu (SO 100)'!I22+'Krycí list rozpočtu (SO 100a)'!I22+'Krycí list rozpočtu (SO 301)'!I22+'Krycí list rozpočtu (SO 302)'!I22+'Krycí list rozpočtu (SO 303)'!I22+'Krycí list rozpočtu (SO 304)'!I22+'Krycí list rozpočtu (SO 305)'!I22+'Krycí list rozpočtu (SO 800)'!I22+'Krycí list rozpočtu (SO100b)'!I22+'Krycí list rozpočtu (SO304.1)'!I22</f>
        <v>0</v>
      </c>
    </row>
    <row r="24" spans="7:8" ht="15" customHeight="1">
      <c r="G24" s="101" t="s">
        <v>1159</v>
      </c>
      <c r="H24" s="100"/>
    </row>
    <row r="25" spans="7:9" ht="15" customHeight="1">
      <c r="G25" s="101" t="s">
        <v>1290</v>
      </c>
      <c r="H25" s="100"/>
      <c r="I25" s="25">
        <f>'Krycí list rozpočtu (SO)'!I23+'Krycí list rozpočtu (SO 100)'!I23+'Krycí list rozpočtu (SO 100a)'!I23+'Krycí list rozpočtu (SO 301)'!I23+'Krycí list rozpočtu (SO 302)'!I23+'Krycí list rozpočtu (SO 303)'!I23+'Krycí list rozpočtu (SO 304)'!I23+'Krycí list rozpočtu (SO 305)'!I23+'Krycí list rozpočtu (SO 800)'!I23+'Krycí list rozpočtu (SO100b)'!I23+'Krycí list rozpočtu (SO304.1)'!I23</f>
        <v>0</v>
      </c>
    </row>
    <row r="27" spans="1:3" ht="15" customHeight="1">
      <c r="A27" s="90" t="s">
        <v>659</v>
      </c>
      <c r="B27" s="91"/>
      <c r="C27" s="47">
        <f>SUM('Stavební rozpočet'!AJ12:AJ1086)</f>
        <v>0</v>
      </c>
    </row>
    <row r="28" spans="1:9" ht="15" customHeight="1">
      <c r="A28" s="92" t="s">
        <v>35</v>
      </c>
      <c r="B28" s="93"/>
      <c r="C28" s="59">
        <f>SUM('Stavební rozpočet'!AK12:AK1086)</f>
        <v>0</v>
      </c>
      <c r="D28" s="91" t="s">
        <v>345</v>
      </c>
      <c r="E28" s="91"/>
      <c r="F28" s="47">
        <f>ROUND(C28*(15/100),2)</f>
        <v>0</v>
      </c>
      <c r="G28" s="91" t="s">
        <v>234</v>
      </c>
      <c r="H28" s="91"/>
      <c r="I28" s="47">
        <f>SUM(C27:C29)</f>
        <v>0</v>
      </c>
    </row>
    <row r="29" spans="1:9" ht="15" customHeight="1">
      <c r="A29" s="92" t="s">
        <v>77</v>
      </c>
      <c r="B29" s="93"/>
      <c r="C29" s="59">
        <f>SUM('Stavební rozpočet'!AL12:AL1086)</f>
        <v>0</v>
      </c>
      <c r="D29" s="93" t="s">
        <v>1250</v>
      </c>
      <c r="E29" s="93"/>
      <c r="F29" s="59">
        <f>ROUND(C29*(21/100),2)</f>
        <v>0</v>
      </c>
      <c r="G29" s="93" t="s">
        <v>650</v>
      </c>
      <c r="H29" s="93"/>
      <c r="I29" s="59">
        <f>SUM(F28:F29)+I28</f>
        <v>0</v>
      </c>
    </row>
    <row r="31" spans="1:9" ht="15" customHeight="1">
      <c r="A31" s="87" t="s">
        <v>26</v>
      </c>
      <c r="B31" s="81"/>
      <c r="C31" s="82"/>
      <c r="D31" s="81" t="s">
        <v>1578</v>
      </c>
      <c r="E31" s="81"/>
      <c r="F31" s="82"/>
      <c r="G31" s="81" t="s">
        <v>1141</v>
      </c>
      <c r="H31" s="81"/>
      <c r="I31" s="82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8" t="s">
        <v>1163</v>
      </c>
      <c r="B33" s="83"/>
      <c r="C33" s="84"/>
      <c r="D33" s="83" t="s">
        <v>1163</v>
      </c>
      <c r="E33" s="83"/>
      <c r="F33" s="84"/>
      <c r="G33" s="83" t="s">
        <v>1163</v>
      </c>
      <c r="H33" s="83"/>
      <c r="I33" s="84"/>
    </row>
    <row r="34" spans="1:9" ht="15" customHeight="1">
      <c r="A34" s="88" t="s">
        <v>1163</v>
      </c>
      <c r="B34" s="83"/>
      <c r="C34" s="84"/>
      <c r="D34" s="83" t="s">
        <v>1163</v>
      </c>
      <c r="E34" s="83"/>
      <c r="F34" s="84"/>
      <c r="G34" s="83" t="s">
        <v>1163</v>
      </c>
      <c r="H34" s="83"/>
      <c r="I34" s="84"/>
    </row>
    <row r="35" spans="1:9" ht="15" customHeight="1">
      <c r="A35" s="89" t="s">
        <v>307</v>
      </c>
      <c r="B35" s="85"/>
      <c r="C35" s="86"/>
      <c r="D35" s="85" t="s">
        <v>307</v>
      </c>
      <c r="E35" s="85"/>
      <c r="F35" s="86"/>
      <c r="G35" s="85" t="s">
        <v>307</v>
      </c>
      <c r="H35" s="85"/>
      <c r="I35" s="86"/>
    </row>
    <row r="36" ht="15" customHeight="1">
      <c r="A36" s="44" t="s">
        <v>144</v>
      </c>
    </row>
    <row r="37" spans="1:9" ht="12.75" customHeight="1">
      <c r="A37" s="63" t="s">
        <v>1163</v>
      </c>
      <c r="B37" s="61"/>
      <c r="C37" s="61"/>
      <c r="D37" s="61"/>
      <c r="E37" s="61"/>
      <c r="F37" s="61"/>
      <c r="G37" s="61"/>
      <c r="H37" s="61"/>
      <c r="I37" s="61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985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31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SUMIF('Stavební rozpočet'!AI12:AI1086,"SO",'Stavební rozpočet'!AB12:AB1086)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SUMIF('Stavební rozpočet'!AI12:AI1086,"SO",'Stavební rozpočet'!AC12:AC1086)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SUMIF('Stavební rozpočet'!AI12:AI1086,"SO",'Stavební rozpočet'!AD12:AD1086)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SUMIF('Stavební rozpočet'!AI12:AI1086,"SO",'Stavební rozpočet'!AE12:AE1086)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SUMIF('Stavební rozpočet'!AI12:AI1086,"SO",'Stavební rozpočet'!AF12:AF1086)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SUMIF('Stavební rozpočet'!AI12:AI1086,"SO",'Stavební rozpočet'!AG12:AG1086)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SUMIF('Stavební rozpočet'!AI12:AI1086,"SO",'Stavební rozpočet'!AH12:AH1086)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11">
        <f>SUMIF('Stavební rozpočet'!AI12:AI1086,"SO",'Stavební rozpočet'!Z12:Z1086)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11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25">
        <f>SUM(I14:I21)</f>
        <v>0</v>
      </c>
    </row>
    <row r="23" spans="7:8" ht="15" customHeight="1">
      <c r="G23" s="101" t="s">
        <v>1159</v>
      </c>
      <c r="H23" s="100"/>
    </row>
    <row r="25" spans="1:3" ht="15" customHeight="1">
      <c r="A25" s="90" t="s">
        <v>659</v>
      </c>
      <c r="B25" s="91"/>
      <c r="C25" s="47">
        <f>('Stavební rozpočet'!AS13+'Stavební rozpočet'!AS16+'Stavební rozpočet'!AS19+'Stavební rozpočet'!AS24+'Stavební rozpočet'!AS29+'Stavební rozpočet'!AS41+'Stavební rozpočet'!AS48+'Stavební rozpočet'!AS62+'Stavební rozpočet'!AS73+'Stavební rozpočet'!AS74+'Stavební rozpočet'!AS77+'Stavební rozpočet'!AS79+'Stavební rozpočet'!AS85)</f>
        <v>0</v>
      </c>
    </row>
    <row r="26" spans="1:9" ht="15" customHeight="1">
      <c r="A26" s="92" t="s">
        <v>35</v>
      </c>
      <c r="B26" s="93"/>
      <c r="C26" s="59">
        <f>('Stavební rozpočet'!AT13+'Stavební rozpočet'!AT16+'Stavební rozpočet'!AT19+'Stavební rozpočet'!AT24+'Stavební rozpočet'!AT29+'Stavební rozpočet'!AT41+'Stavební rozpočet'!AT48+'Stavební rozpočet'!AT62+'Stavební rozpočet'!AT73+'Stavební rozpočet'!AT74+'Stavební rozpočet'!AT77+'Stavební rozpočet'!AT79+'Stavební rozpočet'!AT85)</f>
        <v>0</v>
      </c>
      <c r="D26" s="91" t="s">
        <v>345</v>
      </c>
      <c r="E26" s="91"/>
      <c r="F26" s="47">
        <f>ROUND(C26*(15/100),2)</f>
        <v>0</v>
      </c>
      <c r="G26" s="91" t="s">
        <v>234</v>
      </c>
      <c r="H26" s="91"/>
      <c r="I26" s="47">
        <f>SUM(C25:C27)</f>
        <v>0</v>
      </c>
    </row>
    <row r="27" spans="1:9" ht="15" customHeight="1">
      <c r="A27" s="92" t="s">
        <v>77</v>
      </c>
      <c r="B27" s="93"/>
      <c r="C27" s="59">
        <f>('Stavební rozpočet'!AU13+'Stavební rozpočet'!AU16+'Stavební rozpočet'!AU19+'Stavební rozpočet'!AU24+'Stavební rozpočet'!AU29+'Stavební rozpočet'!AU41+'Stavební rozpočet'!AU48+'Stavební rozpočet'!AU62+'Stavební rozpočet'!AU73+'Stavební rozpočet'!AU74+'Stavební rozpočet'!AU77+'Stavební rozpočet'!AU79+'Stavební rozpočet'!AU85)</f>
        <v>0</v>
      </c>
      <c r="D27" s="93" t="s">
        <v>1250</v>
      </c>
      <c r="E27" s="93"/>
      <c r="F27" s="59">
        <f>ROUND(C27*(21/100),2)</f>
        <v>0</v>
      </c>
      <c r="G27" s="93" t="s">
        <v>650</v>
      </c>
      <c r="H27" s="93"/>
      <c r="I27" s="59">
        <f>SUM(F26:F27)+I26</f>
        <v>0</v>
      </c>
    </row>
    <row r="29" spans="1:9" ht="15" customHeight="1">
      <c r="A29" s="87" t="s">
        <v>26</v>
      </c>
      <c r="B29" s="81"/>
      <c r="C29" s="82"/>
      <c r="D29" s="81" t="s">
        <v>1578</v>
      </c>
      <c r="E29" s="81"/>
      <c r="F29" s="82"/>
      <c r="G29" s="81" t="s">
        <v>1141</v>
      </c>
      <c r="H29" s="81"/>
      <c r="I29" s="82"/>
    </row>
    <row r="30" spans="1:9" ht="15" customHeight="1">
      <c r="A30" s="88" t="s">
        <v>1163</v>
      </c>
      <c r="B30" s="83"/>
      <c r="C30" s="84"/>
      <c r="D30" s="83" t="s">
        <v>1163</v>
      </c>
      <c r="E30" s="83"/>
      <c r="F30" s="84"/>
      <c r="G30" s="83" t="s">
        <v>1163</v>
      </c>
      <c r="H30" s="83"/>
      <c r="I30" s="84"/>
    </row>
    <row r="31" spans="1:9" ht="15" customHeight="1">
      <c r="A31" s="88" t="s">
        <v>1163</v>
      </c>
      <c r="B31" s="83"/>
      <c r="C31" s="84"/>
      <c r="D31" s="83" t="s">
        <v>1163</v>
      </c>
      <c r="E31" s="83"/>
      <c r="F31" s="84"/>
      <c r="G31" s="83" t="s">
        <v>1163</v>
      </c>
      <c r="H31" s="83"/>
      <c r="I31" s="84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9" t="s">
        <v>307</v>
      </c>
      <c r="B33" s="85"/>
      <c r="C33" s="86"/>
      <c r="D33" s="85" t="s">
        <v>307</v>
      </c>
      <c r="E33" s="85"/>
      <c r="F33" s="86"/>
      <c r="G33" s="85" t="s">
        <v>307</v>
      </c>
      <c r="H33" s="85"/>
      <c r="I33" s="86"/>
    </row>
    <row r="34" ht="15" customHeight="1">
      <c r="A34" s="44" t="s">
        <v>144</v>
      </c>
    </row>
    <row r="35" spans="1:9" ht="12.75" customHeight="1">
      <c r="A35" s="63" t="s">
        <v>1163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5:B25"/>
    <mergeCell ref="A26:B26"/>
    <mergeCell ref="A27:B27"/>
    <mergeCell ref="D26:E26"/>
    <mergeCell ref="D27:E27"/>
    <mergeCell ref="G26:H26"/>
    <mergeCell ref="G27:H27"/>
    <mergeCell ref="A33:C33"/>
    <mergeCell ref="D29:F29"/>
    <mergeCell ref="D30:F30"/>
    <mergeCell ref="D31:F31"/>
    <mergeCell ref="D32:F32"/>
    <mergeCell ref="D33:F3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416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0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0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0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0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0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0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0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0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54">
        <f>0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25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25">
        <f>SUM(I14:I21)</f>
        <v>0</v>
      </c>
    </row>
    <row r="23" spans="7:8" ht="15" customHeight="1">
      <c r="G23" s="101" t="s">
        <v>1159</v>
      </c>
      <c r="H23" s="100"/>
    </row>
    <row r="25" spans="1:3" ht="15" customHeight="1">
      <c r="A25" s="90" t="s">
        <v>659</v>
      </c>
      <c r="B25" s="91"/>
      <c r="C25" s="47">
        <f>0</f>
        <v>0</v>
      </c>
    </row>
    <row r="26" spans="1:9" ht="15" customHeight="1">
      <c r="A26" s="92" t="s">
        <v>35</v>
      </c>
      <c r="B26" s="93"/>
      <c r="C26" s="59">
        <f>0</f>
        <v>0</v>
      </c>
      <c r="D26" s="91" t="s">
        <v>345</v>
      </c>
      <c r="E26" s="91"/>
      <c r="F26" s="47">
        <f>ROUND(C26*(15/100),2)</f>
        <v>0</v>
      </c>
      <c r="G26" s="91" t="s">
        <v>234</v>
      </c>
      <c r="H26" s="91"/>
      <c r="I26" s="47">
        <f>SUM(C25:C27)</f>
        <v>0</v>
      </c>
    </row>
    <row r="27" spans="1:9" ht="15" customHeight="1">
      <c r="A27" s="92" t="s">
        <v>77</v>
      </c>
      <c r="B27" s="93"/>
      <c r="C27" s="59">
        <f>0</f>
        <v>0</v>
      </c>
      <c r="D27" s="93" t="s">
        <v>1250</v>
      </c>
      <c r="E27" s="93"/>
      <c r="F27" s="59">
        <f>ROUND(C27*(21/100),2)</f>
        <v>0</v>
      </c>
      <c r="G27" s="93" t="s">
        <v>650</v>
      </c>
      <c r="H27" s="93"/>
      <c r="I27" s="59">
        <f>SUM(F26:F27)+I26</f>
        <v>0</v>
      </c>
    </row>
    <row r="29" spans="1:9" ht="15" customHeight="1">
      <c r="A29" s="87" t="s">
        <v>26</v>
      </c>
      <c r="B29" s="81"/>
      <c r="C29" s="82"/>
      <c r="D29" s="81" t="s">
        <v>1578</v>
      </c>
      <c r="E29" s="81"/>
      <c r="F29" s="82"/>
      <c r="G29" s="81" t="s">
        <v>1141</v>
      </c>
      <c r="H29" s="81"/>
      <c r="I29" s="82"/>
    </row>
    <row r="30" spans="1:9" ht="15" customHeight="1">
      <c r="A30" s="88" t="s">
        <v>1163</v>
      </c>
      <c r="B30" s="83"/>
      <c r="C30" s="84"/>
      <c r="D30" s="83" t="s">
        <v>1163</v>
      </c>
      <c r="E30" s="83"/>
      <c r="F30" s="84"/>
      <c r="G30" s="83" t="s">
        <v>1163</v>
      </c>
      <c r="H30" s="83"/>
      <c r="I30" s="84"/>
    </row>
    <row r="31" spans="1:9" ht="15" customHeight="1">
      <c r="A31" s="88" t="s">
        <v>1163</v>
      </c>
      <c r="B31" s="83"/>
      <c r="C31" s="84"/>
      <c r="D31" s="83" t="s">
        <v>1163</v>
      </c>
      <c r="E31" s="83"/>
      <c r="F31" s="84"/>
      <c r="G31" s="83" t="s">
        <v>1163</v>
      </c>
      <c r="H31" s="83"/>
      <c r="I31" s="84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9" t="s">
        <v>307</v>
      </c>
      <c r="B33" s="85"/>
      <c r="C33" s="86"/>
      <c r="D33" s="85" t="s">
        <v>307</v>
      </c>
      <c r="E33" s="85"/>
      <c r="F33" s="86"/>
      <c r="G33" s="85" t="s">
        <v>307</v>
      </c>
      <c r="H33" s="85"/>
      <c r="I33" s="86"/>
    </row>
    <row r="34" ht="15" customHeight="1">
      <c r="A34" s="44" t="s">
        <v>144</v>
      </c>
    </row>
    <row r="35" spans="1:9" ht="12.75" customHeight="1">
      <c r="A35" s="63" t="s">
        <v>1163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5:B25"/>
    <mergeCell ref="A26:B26"/>
    <mergeCell ref="A27:B27"/>
    <mergeCell ref="D26:E26"/>
    <mergeCell ref="D27:E27"/>
    <mergeCell ref="G26:H26"/>
    <mergeCell ref="G27:H27"/>
    <mergeCell ref="A33:C33"/>
    <mergeCell ref="D29:F29"/>
    <mergeCell ref="D30:F30"/>
    <mergeCell ref="D31:F31"/>
    <mergeCell ref="D32:F32"/>
    <mergeCell ref="D33:F3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496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13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SUMIF('Stavební rozpočet'!AI12:AI1086,"SO 100a",'Stavební rozpočet'!AB12:AB1086)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SUMIF('Stavební rozpočet'!AI12:AI1086,"SO 100a",'Stavební rozpočet'!AC12:AC1086)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SUMIF('Stavební rozpočet'!AI12:AI1086,"SO 100a",'Stavební rozpočet'!AD12:AD1086)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SUMIF('Stavební rozpočet'!AI12:AI1086,"SO 100a",'Stavební rozpočet'!AE12:AE1086)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SUMIF('Stavební rozpočet'!AI12:AI1086,"SO 100a",'Stavební rozpočet'!AF12:AF1086)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SUMIF('Stavební rozpočet'!AI12:AI1086,"SO 100a",'Stavební rozpočet'!AG12:AG1086)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SUMIF('Stavební rozpočet'!AI12:AI1086,"SO 100a",'Stavební rozpočet'!AH12:AH1086)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11">
        <f>SUMIF('Stavební rozpočet'!AI12:AI1086,"SO 100a",'Stavební rozpočet'!Z12:Z1086)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11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25">
        <f>SUM(I14:I21)</f>
        <v>0</v>
      </c>
    </row>
    <row r="23" spans="7:8" ht="15" customHeight="1">
      <c r="G23" s="101" t="s">
        <v>1159</v>
      </c>
      <c r="H23" s="100"/>
    </row>
    <row r="25" spans="1:3" ht="15" customHeight="1">
      <c r="A25" s="90" t="s">
        <v>659</v>
      </c>
      <c r="B25" s="91"/>
      <c r="C25" s="47">
        <f>('Stavební rozpočet'!AS89+'Stavební rozpočet'!AS92+'Stavební rozpočet'!AS95+'Stavební rozpočet'!AS101+'Stavební rozpočet'!AS104+'Stavební rozpočet'!AS111+'Stavební rozpočet'!AS118)</f>
        <v>0</v>
      </c>
    </row>
    <row r="26" spans="1:9" ht="15" customHeight="1">
      <c r="A26" s="92" t="s">
        <v>35</v>
      </c>
      <c r="B26" s="93"/>
      <c r="C26" s="59">
        <f>('Stavební rozpočet'!AT89+'Stavební rozpočet'!AT92+'Stavební rozpočet'!AT95+'Stavební rozpočet'!AT101+'Stavební rozpočet'!AT104+'Stavební rozpočet'!AT111+'Stavební rozpočet'!AT118)</f>
        <v>0</v>
      </c>
      <c r="D26" s="91" t="s">
        <v>345</v>
      </c>
      <c r="E26" s="91"/>
      <c r="F26" s="47">
        <f>ROUND(C26*(15/100),2)</f>
        <v>0</v>
      </c>
      <c r="G26" s="91" t="s">
        <v>234</v>
      </c>
      <c r="H26" s="91"/>
      <c r="I26" s="47">
        <f>SUM(C25:C27)</f>
        <v>0</v>
      </c>
    </row>
    <row r="27" spans="1:9" ht="15" customHeight="1">
      <c r="A27" s="92" t="s">
        <v>77</v>
      </c>
      <c r="B27" s="93"/>
      <c r="C27" s="59">
        <f>('Stavební rozpočet'!AU89+'Stavební rozpočet'!AU92+'Stavební rozpočet'!AU95+'Stavební rozpočet'!AU101+'Stavební rozpočet'!AU104+'Stavební rozpočet'!AU111+'Stavební rozpočet'!AU118)</f>
        <v>0</v>
      </c>
      <c r="D27" s="93" t="s">
        <v>1250</v>
      </c>
      <c r="E27" s="93"/>
      <c r="F27" s="59">
        <f>ROUND(C27*(21/100),2)</f>
        <v>0</v>
      </c>
      <c r="G27" s="93" t="s">
        <v>650</v>
      </c>
      <c r="H27" s="93"/>
      <c r="I27" s="59">
        <f>SUM(F26:F27)+I26</f>
        <v>0</v>
      </c>
    </row>
    <row r="29" spans="1:9" ht="15" customHeight="1">
      <c r="A29" s="87" t="s">
        <v>26</v>
      </c>
      <c r="B29" s="81"/>
      <c r="C29" s="82"/>
      <c r="D29" s="81" t="s">
        <v>1578</v>
      </c>
      <c r="E29" s="81"/>
      <c r="F29" s="82"/>
      <c r="G29" s="81" t="s">
        <v>1141</v>
      </c>
      <c r="H29" s="81"/>
      <c r="I29" s="82"/>
    </row>
    <row r="30" spans="1:9" ht="15" customHeight="1">
      <c r="A30" s="88" t="s">
        <v>1163</v>
      </c>
      <c r="B30" s="83"/>
      <c r="C30" s="84"/>
      <c r="D30" s="83" t="s">
        <v>1163</v>
      </c>
      <c r="E30" s="83"/>
      <c r="F30" s="84"/>
      <c r="G30" s="83" t="s">
        <v>1163</v>
      </c>
      <c r="H30" s="83"/>
      <c r="I30" s="84"/>
    </row>
    <row r="31" spans="1:9" ht="15" customHeight="1">
      <c r="A31" s="88" t="s">
        <v>1163</v>
      </c>
      <c r="B31" s="83"/>
      <c r="C31" s="84"/>
      <c r="D31" s="83" t="s">
        <v>1163</v>
      </c>
      <c r="E31" s="83"/>
      <c r="F31" s="84"/>
      <c r="G31" s="83" t="s">
        <v>1163</v>
      </c>
      <c r="H31" s="83"/>
      <c r="I31" s="84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9" t="s">
        <v>307</v>
      </c>
      <c r="B33" s="85"/>
      <c r="C33" s="86"/>
      <c r="D33" s="85" t="s">
        <v>307</v>
      </c>
      <c r="E33" s="85"/>
      <c r="F33" s="86"/>
      <c r="G33" s="85" t="s">
        <v>307</v>
      </c>
      <c r="H33" s="85"/>
      <c r="I33" s="86"/>
    </row>
    <row r="34" ht="15" customHeight="1">
      <c r="A34" s="44" t="s">
        <v>144</v>
      </c>
    </row>
    <row r="35" spans="1:9" ht="12.75" customHeight="1">
      <c r="A35" s="63" t="s">
        <v>1163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5:B25"/>
    <mergeCell ref="A26:B26"/>
    <mergeCell ref="A27:B27"/>
    <mergeCell ref="D26:E26"/>
    <mergeCell ref="D27:E27"/>
    <mergeCell ref="G26:H26"/>
    <mergeCell ref="G27:H27"/>
    <mergeCell ref="A33:C33"/>
    <mergeCell ref="D29:F29"/>
    <mergeCell ref="D30:F30"/>
    <mergeCell ref="D31:F31"/>
    <mergeCell ref="D32:F32"/>
    <mergeCell ref="D33:F3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744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93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SUMIF('Stavební rozpočet'!AI12:AI1086,"SO 301",'Stavební rozpočet'!AB12:AB1086)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SUMIF('Stavební rozpočet'!AI12:AI1086,"SO 301",'Stavební rozpočet'!AC12:AC1086)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SUMIF('Stavební rozpočet'!AI12:AI1086,"SO 301",'Stavební rozpočet'!AD12:AD1086)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SUMIF('Stavební rozpočet'!AI12:AI1086,"SO 301",'Stavební rozpočet'!AE12:AE1086)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SUMIF('Stavební rozpočet'!AI12:AI1086,"SO 301",'Stavební rozpočet'!AF12:AF1086)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SUMIF('Stavební rozpočet'!AI12:AI1086,"SO 301",'Stavební rozpočet'!AG12:AG1086)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SUMIF('Stavební rozpočet'!AI12:AI1086,"SO 301",'Stavební rozpočet'!AH12:AH1086)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11">
        <f>SUMIF('Stavební rozpočet'!AI12:AI1086,"SO 301",'Stavební rozpočet'!Z12:Z1086)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11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25">
        <f>SUM(I14:I21)</f>
        <v>0</v>
      </c>
    </row>
    <row r="23" spans="7:8" ht="15" customHeight="1">
      <c r="G23" s="101" t="s">
        <v>1159</v>
      </c>
      <c r="H23" s="100"/>
    </row>
    <row r="25" spans="1:3" ht="15" customHeight="1">
      <c r="A25" s="90" t="s">
        <v>659</v>
      </c>
      <c r="B25" s="91"/>
      <c r="C25" s="47">
        <f>('Stavební rozpočet'!AS123+'Stavební rozpočet'!AS144+'Stavební rozpočet'!AS147+'Stavební rozpočet'!AS159+'Stavební rozpočet'!AS163+'Stavební rozpočet'!AS173+'Stavební rozpočet'!AS180+'Stavební rozpočet'!AS190+'Stavební rozpočet'!AS195+'Stavební rozpočet'!AS198+'Stavební rozpočet'!AS204+'Stavební rozpočet'!AS215+'Stavební rozpočet'!AS218+'Stavební rozpočet'!AS237+'Stavební rozpočet'!AS292+'Stavební rozpočet'!AS295+'Stavební rozpočet'!AS301+'Stavební rozpočet'!AS306)</f>
        <v>0</v>
      </c>
    </row>
    <row r="26" spans="1:9" ht="15" customHeight="1">
      <c r="A26" s="92" t="s">
        <v>35</v>
      </c>
      <c r="B26" s="93"/>
      <c r="C26" s="59">
        <f>('Stavební rozpočet'!AT123+'Stavební rozpočet'!AT144+'Stavební rozpočet'!AT147+'Stavební rozpočet'!AT159+'Stavební rozpočet'!AT163+'Stavební rozpočet'!AT173+'Stavební rozpočet'!AT180+'Stavební rozpočet'!AT190+'Stavební rozpočet'!AT195+'Stavební rozpočet'!AT198+'Stavební rozpočet'!AT204+'Stavební rozpočet'!AT215+'Stavební rozpočet'!AT218+'Stavební rozpočet'!AT237+'Stavební rozpočet'!AT292+'Stavební rozpočet'!AT295+'Stavební rozpočet'!AT301+'Stavební rozpočet'!AT306)</f>
        <v>0</v>
      </c>
      <c r="D26" s="91" t="s">
        <v>345</v>
      </c>
      <c r="E26" s="91"/>
      <c r="F26" s="47">
        <f>ROUND(C26*(15/100),2)</f>
        <v>0</v>
      </c>
      <c r="G26" s="91" t="s">
        <v>234</v>
      </c>
      <c r="H26" s="91"/>
      <c r="I26" s="47">
        <f>SUM(C25:C27)</f>
        <v>0</v>
      </c>
    </row>
    <row r="27" spans="1:9" ht="15" customHeight="1">
      <c r="A27" s="92" t="s">
        <v>77</v>
      </c>
      <c r="B27" s="93"/>
      <c r="C27" s="59">
        <f>('Stavební rozpočet'!AU123+'Stavební rozpočet'!AU144+'Stavební rozpočet'!AU147+'Stavební rozpočet'!AU159+'Stavební rozpočet'!AU163+'Stavební rozpočet'!AU173+'Stavební rozpočet'!AU180+'Stavební rozpočet'!AU190+'Stavební rozpočet'!AU195+'Stavební rozpočet'!AU198+'Stavební rozpočet'!AU204+'Stavební rozpočet'!AU215+'Stavební rozpočet'!AU218+'Stavební rozpočet'!AU237+'Stavební rozpočet'!AU292+'Stavební rozpočet'!AU295+'Stavební rozpočet'!AU301+'Stavební rozpočet'!AU306)</f>
        <v>0</v>
      </c>
      <c r="D27" s="93" t="s">
        <v>1250</v>
      </c>
      <c r="E27" s="93"/>
      <c r="F27" s="59">
        <f>ROUND(C27*(21/100),2)</f>
        <v>0</v>
      </c>
      <c r="G27" s="93" t="s">
        <v>650</v>
      </c>
      <c r="H27" s="93"/>
      <c r="I27" s="59">
        <f>SUM(F26:F27)+I26</f>
        <v>0</v>
      </c>
    </row>
    <row r="29" spans="1:9" ht="15" customHeight="1">
      <c r="A29" s="87" t="s">
        <v>26</v>
      </c>
      <c r="B29" s="81"/>
      <c r="C29" s="82"/>
      <c r="D29" s="81" t="s">
        <v>1578</v>
      </c>
      <c r="E29" s="81"/>
      <c r="F29" s="82"/>
      <c r="G29" s="81" t="s">
        <v>1141</v>
      </c>
      <c r="H29" s="81"/>
      <c r="I29" s="82"/>
    </row>
    <row r="30" spans="1:9" ht="15" customHeight="1">
      <c r="A30" s="88" t="s">
        <v>1163</v>
      </c>
      <c r="B30" s="83"/>
      <c r="C30" s="84"/>
      <c r="D30" s="83" t="s">
        <v>1163</v>
      </c>
      <c r="E30" s="83"/>
      <c r="F30" s="84"/>
      <c r="G30" s="83" t="s">
        <v>1163</v>
      </c>
      <c r="H30" s="83"/>
      <c r="I30" s="84"/>
    </row>
    <row r="31" spans="1:9" ht="15" customHeight="1">
      <c r="A31" s="88" t="s">
        <v>1163</v>
      </c>
      <c r="B31" s="83"/>
      <c r="C31" s="84"/>
      <c r="D31" s="83" t="s">
        <v>1163</v>
      </c>
      <c r="E31" s="83"/>
      <c r="F31" s="84"/>
      <c r="G31" s="83" t="s">
        <v>1163</v>
      </c>
      <c r="H31" s="83"/>
      <c r="I31" s="84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9" t="s">
        <v>307</v>
      </c>
      <c r="B33" s="85"/>
      <c r="C33" s="86"/>
      <c r="D33" s="85" t="s">
        <v>307</v>
      </c>
      <c r="E33" s="85"/>
      <c r="F33" s="86"/>
      <c r="G33" s="85" t="s">
        <v>307</v>
      </c>
      <c r="H33" s="85"/>
      <c r="I33" s="86"/>
    </row>
    <row r="34" ht="15" customHeight="1">
      <c r="A34" s="44" t="s">
        <v>144</v>
      </c>
    </row>
    <row r="35" spans="1:9" ht="12.75" customHeight="1">
      <c r="A35" s="63" t="s">
        <v>1163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5:B25"/>
    <mergeCell ref="A26:B26"/>
    <mergeCell ref="A27:B27"/>
    <mergeCell ref="D26:E26"/>
    <mergeCell ref="D27:E27"/>
    <mergeCell ref="G26:H26"/>
    <mergeCell ref="G27:H27"/>
    <mergeCell ref="A33:C33"/>
    <mergeCell ref="D29:F29"/>
    <mergeCell ref="D30:F30"/>
    <mergeCell ref="D31:F31"/>
    <mergeCell ref="D32:F32"/>
    <mergeCell ref="D33:F3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977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95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SUMIF('Stavební rozpočet'!AI12:AI1086,"SO 302",'Stavební rozpočet'!AB12:AB1086)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SUMIF('Stavební rozpočet'!AI12:AI1086,"SO 302",'Stavební rozpočet'!AC12:AC1086)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SUMIF('Stavební rozpočet'!AI12:AI1086,"SO 302",'Stavební rozpočet'!AD12:AD1086)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SUMIF('Stavební rozpočet'!AI12:AI1086,"SO 302",'Stavební rozpočet'!AE12:AE1086)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SUMIF('Stavební rozpočet'!AI12:AI1086,"SO 302",'Stavební rozpočet'!AF12:AF1086)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SUMIF('Stavební rozpočet'!AI12:AI1086,"SO 302",'Stavební rozpočet'!AG12:AG1086)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SUMIF('Stavební rozpočet'!AI12:AI1086,"SO 302",'Stavební rozpočet'!AH12:AH1086)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11">
        <f>SUMIF('Stavební rozpočet'!AI12:AI1086,"SO 302",'Stavební rozpočet'!Z12:Z1086)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11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25">
        <f>SUM(I14:I21)</f>
        <v>0</v>
      </c>
    </row>
    <row r="23" spans="7:8" ht="15" customHeight="1">
      <c r="G23" s="101" t="s">
        <v>1159</v>
      </c>
      <c r="H23" s="100"/>
    </row>
    <row r="25" spans="1:3" ht="15" customHeight="1">
      <c r="A25" s="90" t="s">
        <v>659</v>
      </c>
      <c r="B25" s="91"/>
      <c r="C25" s="47">
        <f>('Stavební rozpočet'!AS320+'Stavební rozpočet'!AS357+'Stavební rozpočet'!AS370+'Stavební rozpočet'!AS375+'Stavební rozpočet'!AS380+'Stavební rozpočet'!AS386+'Stavební rozpočet'!AS399+'Stavební rozpočet'!AS402+'Stavební rozpočet'!AS409+'Stavební rozpočet'!AS416+'Stavební rozpočet'!AS426+'Stavební rozpočet'!AS462+'Stavební rozpočet'!AS508+'Stavební rozpočet'!AS514+'Stavební rozpočet'!AS519)</f>
        <v>0</v>
      </c>
    </row>
    <row r="26" spans="1:9" ht="15" customHeight="1">
      <c r="A26" s="92" t="s">
        <v>35</v>
      </c>
      <c r="B26" s="93"/>
      <c r="C26" s="59">
        <f>('Stavební rozpočet'!AT320+'Stavební rozpočet'!AT357+'Stavební rozpočet'!AT370+'Stavební rozpočet'!AT375+'Stavební rozpočet'!AT380+'Stavební rozpočet'!AT386+'Stavební rozpočet'!AT399+'Stavební rozpočet'!AT402+'Stavební rozpočet'!AT409+'Stavební rozpočet'!AT416+'Stavební rozpočet'!AT426+'Stavební rozpočet'!AT462+'Stavební rozpočet'!AT508+'Stavební rozpočet'!AT514+'Stavební rozpočet'!AT519)</f>
        <v>0</v>
      </c>
      <c r="D26" s="91" t="s">
        <v>345</v>
      </c>
      <c r="E26" s="91"/>
      <c r="F26" s="47">
        <f>ROUND(C26*(15/100),2)</f>
        <v>0</v>
      </c>
      <c r="G26" s="91" t="s">
        <v>234</v>
      </c>
      <c r="H26" s="91"/>
      <c r="I26" s="47">
        <f>SUM(C25:C27)</f>
        <v>0</v>
      </c>
    </row>
    <row r="27" spans="1:9" ht="15" customHeight="1">
      <c r="A27" s="92" t="s">
        <v>77</v>
      </c>
      <c r="B27" s="93"/>
      <c r="C27" s="59">
        <f>('Stavební rozpočet'!AU320+'Stavební rozpočet'!AU357+'Stavební rozpočet'!AU370+'Stavební rozpočet'!AU375+'Stavební rozpočet'!AU380+'Stavební rozpočet'!AU386+'Stavební rozpočet'!AU399+'Stavební rozpočet'!AU402+'Stavební rozpočet'!AU409+'Stavební rozpočet'!AU416+'Stavební rozpočet'!AU426+'Stavební rozpočet'!AU462+'Stavební rozpočet'!AU508+'Stavební rozpočet'!AU514+'Stavební rozpočet'!AU519)</f>
        <v>0</v>
      </c>
      <c r="D27" s="93" t="s">
        <v>1250</v>
      </c>
      <c r="E27" s="93"/>
      <c r="F27" s="59">
        <f>ROUND(C27*(21/100),2)</f>
        <v>0</v>
      </c>
      <c r="G27" s="93" t="s">
        <v>650</v>
      </c>
      <c r="H27" s="93"/>
      <c r="I27" s="59">
        <f>SUM(F26:F27)+I26</f>
        <v>0</v>
      </c>
    </row>
    <row r="29" spans="1:9" ht="15" customHeight="1">
      <c r="A29" s="87" t="s">
        <v>26</v>
      </c>
      <c r="B29" s="81"/>
      <c r="C29" s="82"/>
      <c r="D29" s="81" t="s">
        <v>1578</v>
      </c>
      <c r="E29" s="81"/>
      <c r="F29" s="82"/>
      <c r="G29" s="81" t="s">
        <v>1141</v>
      </c>
      <c r="H29" s="81"/>
      <c r="I29" s="82"/>
    </row>
    <row r="30" spans="1:9" ht="15" customHeight="1">
      <c r="A30" s="88" t="s">
        <v>1163</v>
      </c>
      <c r="B30" s="83"/>
      <c r="C30" s="84"/>
      <c r="D30" s="83" t="s">
        <v>1163</v>
      </c>
      <c r="E30" s="83"/>
      <c r="F30" s="84"/>
      <c r="G30" s="83" t="s">
        <v>1163</v>
      </c>
      <c r="H30" s="83"/>
      <c r="I30" s="84"/>
    </row>
    <row r="31" spans="1:9" ht="15" customHeight="1">
      <c r="A31" s="88" t="s">
        <v>1163</v>
      </c>
      <c r="B31" s="83"/>
      <c r="C31" s="84"/>
      <c r="D31" s="83" t="s">
        <v>1163</v>
      </c>
      <c r="E31" s="83"/>
      <c r="F31" s="84"/>
      <c r="G31" s="83" t="s">
        <v>1163</v>
      </c>
      <c r="H31" s="83"/>
      <c r="I31" s="84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9" t="s">
        <v>307</v>
      </c>
      <c r="B33" s="85"/>
      <c r="C33" s="86"/>
      <c r="D33" s="85" t="s">
        <v>307</v>
      </c>
      <c r="E33" s="85"/>
      <c r="F33" s="86"/>
      <c r="G33" s="85" t="s">
        <v>307</v>
      </c>
      <c r="H33" s="85"/>
      <c r="I33" s="86"/>
    </row>
    <row r="34" ht="15" customHeight="1">
      <c r="A34" s="44" t="s">
        <v>144</v>
      </c>
    </row>
    <row r="35" spans="1:9" ht="12.75" customHeight="1">
      <c r="A35" s="63" t="s">
        <v>1163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5:B25"/>
    <mergeCell ref="A26:B26"/>
    <mergeCell ref="A27:B27"/>
    <mergeCell ref="D26:E26"/>
    <mergeCell ref="D27:E27"/>
    <mergeCell ref="G26:H26"/>
    <mergeCell ref="G27:H27"/>
    <mergeCell ref="A33:C33"/>
    <mergeCell ref="D29:F29"/>
    <mergeCell ref="D30:F30"/>
    <mergeCell ref="D31:F31"/>
    <mergeCell ref="D32:F32"/>
    <mergeCell ref="D33:F3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1758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32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SUMIF('Stavební rozpočet'!AI12:AI1086,"SO 303",'Stavební rozpočet'!AB12:AB1086)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SUMIF('Stavební rozpočet'!AI12:AI1086,"SO 303",'Stavební rozpočet'!AC12:AC1086)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SUMIF('Stavební rozpočet'!AI12:AI1086,"SO 303",'Stavební rozpočet'!AD12:AD1086)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SUMIF('Stavební rozpočet'!AI12:AI1086,"SO 303",'Stavební rozpočet'!AE12:AE1086)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SUMIF('Stavební rozpočet'!AI12:AI1086,"SO 303",'Stavební rozpočet'!AF12:AF1086)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SUMIF('Stavební rozpočet'!AI12:AI1086,"SO 303",'Stavební rozpočet'!AG12:AG1086)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SUMIF('Stavební rozpočet'!AI12:AI1086,"SO 303",'Stavební rozpočet'!AH12:AH1086)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11">
        <f>SUMIF('Stavební rozpočet'!AI12:AI1086,"SO 303",'Stavební rozpočet'!Z12:Z1086)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11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25">
        <f>SUM(I14:I21)</f>
        <v>0</v>
      </c>
    </row>
    <row r="23" spans="7:8" ht="15" customHeight="1">
      <c r="G23" s="101" t="s">
        <v>1159</v>
      </c>
      <c r="H23" s="100"/>
    </row>
    <row r="25" spans="1:3" ht="15" customHeight="1">
      <c r="A25" s="90" t="s">
        <v>659</v>
      </c>
      <c r="B25" s="91"/>
      <c r="C25" s="47">
        <f>('Stavební rozpočet'!AS533+'Stavební rozpočet'!AS558+'Stavební rozpočet'!AS565+'Stavební rozpočet'!AS570+'Stavební rozpočet'!AS576+'Stavební rozpočet'!AS583+'Stavební rozpočet'!AS586+'Stavební rozpočet'!AS589+'Stavební rozpočet'!AS603+'Stavební rozpočet'!AS610)</f>
        <v>0</v>
      </c>
    </row>
    <row r="26" spans="1:9" ht="15" customHeight="1">
      <c r="A26" s="92" t="s">
        <v>35</v>
      </c>
      <c r="B26" s="93"/>
      <c r="C26" s="59">
        <f>('Stavební rozpočet'!AT533+'Stavební rozpočet'!AT558+'Stavební rozpočet'!AT565+'Stavební rozpočet'!AT570+'Stavební rozpočet'!AT576+'Stavební rozpočet'!AT583+'Stavební rozpočet'!AT586+'Stavební rozpočet'!AT589+'Stavební rozpočet'!AT603+'Stavební rozpočet'!AT610)</f>
        <v>0</v>
      </c>
      <c r="D26" s="91" t="s">
        <v>345</v>
      </c>
      <c r="E26" s="91"/>
      <c r="F26" s="47">
        <f>ROUND(C26*(15/100),2)</f>
        <v>0</v>
      </c>
      <c r="G26" s="91" t="s">
        <v>234</v>
      </c>
      <c r="H26" s="91"/>
      <c r="I26" s="47">
        <f>SUM(C25:C27)</f>
        <v>0</v>
      </c>
    </row>
    <row r="27" spans="1:9" ht="15" customHeight="1">
      <c r="A27" s="92" t="s">
        <v>77</v>
      </c>
      <c r="B27" s="93"/>
      <c r="C27" s="59">
        <f>('Stavební rozpočet'!AU533+'Stavební rozpočet'!AU558+'Stavební rozpočet'!AU565+'Stavební rozpočet'!AU570+'Stavební rozpočet'!AU576+'Stavební rozpočet'!AU583+'Stavební rozpočet'!AU586+'Stavební rozpočet'!AU589+'Stavební rozpočet'!AU603+'Stavební rozpočet'!AU610)</f>
        <v>0</v>
      </c>
      <c r="D27" s="93" t="s">
        <v>1250</v>
      </c>
      <c r="E27" s="93"/>
      <c r="F27" s="59">
        <f>ROUND(C27*(21/100),2)</f>
        <v>0</v>
      </c>
      <c r="G27" s="93" t="s">
        <v>650</v>
      </c>
      <c r="H27" s="93"/>
      <c r="I27" s="59">
        <f>SUM(F26:F27)+I26</f>
        <v>0</v>
      </c>
    </row>
    <row r="29" spans="1:9" ht="15" customHeight="1">
      <c r="A29" s="87" t="s">
        <v>26</v>
      </c>
      <c r="B29" s="81"/>
      <c r="C29" s="82"/>
      <c r="D29" s="81" t="s">
        <v>1578</v>
      </c>
      <c r="E29" s="81"/>
      <c r="F29" s="82"/>
      <c r="G29" s="81" t="s">
        <v>1141</v>
      </c>
      <c r="H29" s="81"/>
      <c r="I29" s="82"/>
    </row>
    <row r="30" spans="1:9" ht="15" customHeight="1">
      <c r="A30" s="88" t="s">
        <v>1163</v>
      </c>
      <c r="B30" s="83"/>
      <c r="C30" s="84"/>
      <c r="D30" s="83" t="s">
        <v>1163</v>
      </c>
      <c r="E30" s="83"/>
      <c r="F30" s="84"/>
      <c r="G30" s="83" t="s">
        <v>1163</v>
      </c>
      <c r="H30" s="83"/>
      <c r="I30" s="84"/>
    </row>
    <row r="31" spans="1:9" ht="15" customHeight="1">
      <c r="A31" s="88" t="s">
        <v>1163</v>
      </c>
      <c r="B31" s="83"/>
      <c r="C31" s="84"/>
      <c r="D31" s="83" t="s">
        <v>1163</v>
      </c>
      <c r="E31" s="83"/>
      <c r="F31" s="84"/>
      <c r="G31" s="83" t="s">
        <v>1163</v>
      </c>
      <c r="H31" s="83"/>
      <c r="I31" s="84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9" t="s">
        <v>307</v>
      </c>
      <c r="B33" s="85"/>
      <c r="C33" s="86"/>
      <c r="D33" s="85" t="s">
        <v>307</v>
      </c>
      <c r="E33" s="85"/>
      <c r="F33" s="86"/>
      <c r="G33" s="85" t="s">
        <v>307</v>
      </c>
      <c r="H33" s="85"/>
      <c r="I33" s="86"/>
    </row>
    <row r="34" ht="15" customHeight="1">
      <c r="A34" s="44" t="s">
        <v>144</v>
      </c>
    </row>
    <row r="35" spans="1:9" ht="12.75" customHeight="1">
      <c r="A35" s="63" t="s">
        <v>1163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5:B25"/>
    <mergeCell ref="A26:B26"/>
    <mergeCell ref="A27:B27"/>
    <mergeCell ref="D26:E26"/>
    <mergeCell ref="D27:E27"/>
    <mergeCell ref="G26:H26"/>
    <mergeCell ref="G27:H27"/>
    <mergeCell ref="A33:C33"/>
    <mergeCell ref="D29:F29"/>
    <mergeCell ref="D30:F30"/>
    <mergeCell ref="D31:F31"/>
    <mergeCell ref="D32:F32"/>
    <mergeCell ref="D33:F3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1" t="s">
        <v>1081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116</v>
      </c>
      <c r="B2" s="68"/>
      <c r="C2" s="74" t="str">
        <f>'Stavební rozpočet'!C2</f>
        <v>Stavební úprava ul. Sokolovská</v>
      </c>
      <c r="D2" s="75"/>
      <c r="E2" s="80" t="s">
        <v>1400</v>
      </c>
      <c r="F2" s="80" t="str">
        <f>'Stavební rozpočet'!H2</f>
        <v> </v>
      </c>
      <c r="G2" s="68"/>
      <c r="H2" s="80" t="s">
        <v>1090</v>
      </c>
      <c r="I2" s="69" t="s">
        <v>1163</v>
      </c>
    </row>
    <row r="3" spans="1:9" ht="15" customHeight="1">
      <c r="A3" s="78"/>
      <c r="B3" s="61"/>
      <c r="C3" s="62"/>
      <c r="D3" s="62"/>
      <c r="E3" s="61"/>
      <c r="F3" s="61"/>
      <c r="G3" s="61"/>
      <c r="H3" s="61"/>
      <c r="I3" s="70"/>
    </row>
    <row r="4" spans="1:9" ht="15" customHeight="1">
      <c r="A4" s="79" t="s">
        <v>908</v>
      </c>
      <c r="B4" s="61"/>
      <c r="C4" s="63" t="str">
        <f>'Stavební rozpočet'!C4</f>
        <v>Stavební úprava ulice včetně inž. sítí</v>
      </c>
      <c r="D4" s="61"/>
      <c r="E4" s="63" t="s">
        <v>1158</v>
      </c>
      <c r="F4" s="63" t="str">
        <f>'Stavební rozpočet'!H4</f>
        <v>Bau-projekt spol s.r.o. Jan Hyliš</v>
      </c>
      <c r="G4" s="61"/>
      <c r="H4" s="63" t="s">
        <v>1090</v>
      </c>
      <c r="I4" s="70" t="s">
        <v>261</v>
      </c>
    </row>
    <row r="5" spans="1:9" ht="15" customHeight="1">
      <c r="A5" s="78"/>
      <c r="B5" s="61"/>
      <c r="C5" s="61"/>
      <c r="D5" s="61"/>
      <c r="E5" s="61"/>
      <c r="F5" s="61"/>
      <c r="G5" s="61"/>
      <c r="H5" s="61"/>
      <c r="I5" s="70"/>
    </row>
    <row r="6" spans="1:9" ht="15" customHeight="1">
      <c r="A6" s="79" t="s">
        <v>148</v>
      </c>
      <c r="B6" s="61"/>
      <c r="C6" s="63" t="str">
        <f>'Stavební rozpočet'!C6</f>
        <v>Milevsko</v>
      </c>
      <c r="D6" s="61"/>
      <c r="E6" s="63" t="s">
        <v>1447</v>
      </c>
      <c r="F6" s="63" t="str">
        <f>'Stavební rozpočet'!H6</f>
        <v> </v>
      </c>
      <c r="G6" s="61"/>
      <c r="H6" s="63" t="s">
        <v>1090</v>
      </c>
      <c r="I6" s="70" t="s">
        <v>1163</v>
      </c>
    </row>
    <row r="7" spans="1:9" ht="15" customHeight="1">
      <c r="A7" s="78"/>
      <c r="B7" s="61"/>
      <c r="C7" s="61"/>
      <c r="D7" s="61"/>
      <c r="E7" s="61"/>
      <c r="F7" s="61"/>
      <c r="G7" s="61"/>
      <c r="H7" s="61"/>
      <c r="I7" s="70"/>
    </row>
    <row r="8" spans="1:9" ht="15" customHeight="1">
      <c r="A8" s="79" t="s">
        <v>1470</v>
      </c>
      <c r="B8" s="61"/>
      <c r="C8" s="63" t="str">
        <f>'Stavební rozpočet'!F4</f>
        <v>01.08.2023</v>
      </c>
      <c r="D8" s="61"/>
      <c r="E8" s="63" t="s">
        <v>523</v>
      </c>
      <c r="F8" s="63" t="str">
        <f>'Stavební rozpočet'!F6</f>
        <v>31.10.2024</v>
      </c>
      <c r="G8" s="61"/>
      <c r="H8" s="61" t="s">
        <v>1673</v>
      </c>
      <c r="I8" s="107">
        <v>69</v>
      </c>
    </row>
    <row r="9" spans="1:9" ht="15" customHeight="1">
      <c r="A9" s="78"/>
      <c r="B9" s="61"/>
      <c r="C9" s="61"/>
      <c r="D9" s="61"/>
      <c r="E9" s="61"/>
      <c r="F9" s="61"/>
      <c r="G9" s="61"/>
      <c r="H9" s="61"/>
      <c r="I9" s="70"/>
    </row>
    <row r="10" spans="1:9" ht="15" customHeight="1">
      <c r="A10" s="79" t="s">
        <v>799</v>
      </c>
      <c r="B10" s="61"/>
      <c r="C10" s="63" t="str">
        <f>'Stavební rozpočet'!C8</f>
        <v> </v>
      </c>
      <c r="D10" s="61"/>
      <c r="E10" s="63" t="s">
        <v>1114</v>
      </c>
      <c r="F10" s="63" t="str">
        <f>'Stavební rozpočet'!H8</f>
        <v> </v>
      </c>
      <c r="G10" s="61"/>
      <c r="H10" s="61" t="s">
        <v>1615</v>
      </c>
      <c r="I10" s="108" t="str">
        <f>'Stavební rozpočet'!F8</f>
        <v>01.06.2023</v>
      </c>
    </row>
    <row r="11" spans="1:9" ht="15" customHeight="1">
      <c r="A11" s="112"/>
      <c r="B11" s="71"/>
      <c r="C11" s="71"/>
      <c r="D11" s="71"/>
      <c r="E11" s="71"/>
      <c r="F11" s="71"/>
      <c r="G11" s="71"/>
      <c r="H11" s="71"/>
      <c r="I11" s="109"/>
    </row>
    <row r="12" spans="1:9" ht="22.5" customHeight="1">
      <c r="A12" s="110" t="s">
        <v>270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21" t="s">
        <v>1484</v>
      </c>
      <c r="B13" s="102" t="s">
        <v>205</v>
      </c>
      <c r="C13" s="103"/>
      <c r="D13" s="27" t="s">
        <v>288</v>
      </c>
      <c r="E13" s="102" t="s">
        <v>590</v>
      </c>
      <c r="F13" s="103"/>
      <c r="G13" s="27" t="s">
        <v>1073</v>
      </c>
      <c r="H13" s="102" t="s">
        <v>291</v>
      </c>
      <c r="I13" s="103"/>
    </row>
    <row r="14" spans="1:9" ht="15" customHeight="1">
      <c r="A14" s="2" t="s">
        <v>608</v>
      </c>
      <c r="B14" s="17" t="s">
        <v>400</v>
      </c>
      <c r="C14" s="11">
        <f>SUMIF('Stavební rozpočet'!AI12:AI1086,"SO 304",'Stavební rozpočet'!AB12:AB1086)</f>
        <v>0</v>
      </c>
      <c r="D14" s="94" t="s">
        <v>1203</v>
      </c>
      <c r="E14" s="95"/>
      <c r="F14" s="11">
        <v>0</v>
      </c>
      <c r="G14" s="94" t="s">
        <v>168</v>
      </c>
      <c r="H14" s="95"/>
      <c r="I14" s="51" t="s">
        <v>871</v>
      </c>
    </row>
    <row r="15" spans="1:9" ht="15" customHeight="1">
      <c r="A15" s="16" t="s">
        <v>1163</v>
      </c>
      <c r="B15" s="17" t="s">
        <v>304</v>
      </c>
      <c r="C15" s="11">
        <f>SUMIF('Stavební rozpočet'!AI12:AI1086,"SO 304",'Stavební rozpočet'!AC12:AC1086)</f>
        <v>0</v>
      </c>
      <c r="D15" s="94" t="s">
        <v>162</v>
      </c>
      <c r="E15" s="95"/>
      <c r="F15" s="11">
        <v>0</v>
      </c>
      <c r="G15" s="94" t="s">
        <v>1329</v>
      </c>
      <c r="H15" s="95"/>
      <c r="I15" s="51" t="s">
        <v>871</v>
      </c>
    </row>
    <row r="16" spans="1:9" ht="15" customHeight="1">
      <c r="A16" s="2" t="s">
        <v>156</v>
      </c>
      <c r="B16" s="17" t="s">
        <v>400</v>
      </c>
      <c r="C16" s="11">
        <f>SUMIF('Stavební rozpočet'!AI12:AI1086,"SO 304",'Stavební rozpočet'!AD12:AD1086)</f>
        <v>0</v>
      </c>
      <c r="D16" s="94" t="s">
        <v>1242</v>
      </c>
      <c r="E16" s="95"/>
      <c r="F16" s="11">
        <v>0</v>
      </c>
      <c r="G16" s="94" t="s">
        <v>1597</v>
      </c>
      <c r="H16" s="95"/>
      <c r="I16" s="51" t="s">
        <v>871</v>
      </c>
    </row>
    <row r="17" spans="1:9" ht="15" customHeight="1">
      <c r="A17" s="16" t="s">
        <v>1163</v>
      </c>
      <c r="B17" s="17" t="s">
        <v>304</v>
      </c>
      <c r="C17" s="11">
        <f>SUMIF('Stavební rozpočet'!AI12:AI1086,"SO 304",'Stavební rozpočet'!AE12:AE1086)</f>
        <v>0</v>
      </c>
      <c r="D17" s="94" t="s">
        <v>1163</v>
      </c>
      <c r="E17" s="95"/>
      <c r="F17" s="51" t="s">
        <v>1163</v>
      </c>
      <c r="G17" s="94" t="s">
        <v>877</v>
      </c>
      <c r="H17" s="95"/>
      <c r="I17" s="51" t="s">
        <v>871</v>
      </c>
    </row>
    <row r="18" spans="1:9" ht="15" customHeight="1">
      <c r="A18" s="2" t="s">
        <v>493</v>
      </c>
      <c r="B18" s="17" t="s">
        <v>400</v>
      </c>
      <c r="C18" s="11">
        <f>SUMIF('Stavební rozpočet'!AI12:AI1086,"SO 304",'Stavební rozpočet'!AF12:AF1086)</f>
        <v>0</v>
      </c>
      <c r="D18" s="94" t="s">
        <v>1163</v>
      </c>
      <c r="E18" s="95"/>
      <c r="F18" s="51" t="s">
        <v>1163</v>
      </c>
      <c r="G18" s="94" t="s">
        <v>1093</v>
      </c>
      <c r="H18" s="95"/>
      <c r="I18" s="51" t="s">
        <v>871</v>
      </c>
    </row>
    <row r="19" spans="1:9" ht="15" customHeight="1">
      <c r="A19" s="16" t="s">
        <v>1163</v>
      </c>
      <c r="B19" s="17" t="s">
        <v>304</v>
      </c>
      <c r="C19" s="11">
        <f>SUMIF('Stavební rozpočet'!AI12:AI1086,"SO 304",'Stavební rozpočet'!AG12:AG1086)</f>
        <v>0</v>
      </c>
      <c r="D19" s="94" t="s">
        <v>1163</v>
      </c>
      <c r="E19" s="95"/>
      <c r="F19" s="51" t="s">
        <v>1163</v>
      </c>
      <c r="G19" s="94" t="s">
        <v>1638</v>
      </c>
      <c r="H19" s="95"/>
      <c r="I19" s="51" t="s">
        <v>871</v>
      </c>
    </row>
    <row r="20" spans="1:9" ht="15" customHeight="1">
      <c r="A20" s="101" t="s">
        <v>119</v>
      </c>
      <c r="B20" s="100"/>
      <c r="C20" s="11">
        <f>SUMIF('Stavební rozpočet'!AI12:AI1086,"SO 304",'Stavební rozpočet'!AH12:AH1086)</f>
        <v>0</v>
      </c>
      <c r="D20" s="94" t="s">
        <v>1163</v>
      </c>
      <c r="E20" s="95"/>
      <c r="F20" s="51" t="s">
        <v>1163</v>
      </c>
      <c r="G20" s="94" t="s">
        <v>1163</v>
      </c>
      <c r="H20" s="95"/>
      <c r="I20" s="51" t="s">
        <v>1163</v>
      </c>
    </row>
    <row r="21" spans="1:9" ht="15" customHeight="1">
      <c r="A21" s="104" t="s">
        <v>1637</v>
      </c>
      <c r="B21" s="105"/>
      <c r="C21" s="11">
        <f>SUMIF('Stavební rozpočet'!AI12:AI1086,"SO 304",'Stavební rozpočet'!Z12:Z1086)</f>
        <v>0</v>
      </c>
      <c r="D21" s="83" t="s">
        <v>1163</v>
      </c>
      <c r="E21" s="96"/>
      <c r="F21" s="40" t="s">
        <v>1163</v>
      </c>
      <c r="G21" s="83" t="s">
        <v>1163</v>
      </c>
      <c r="H21" s="96"/>
      <c r="I21" s="40" t="s">
        <v>1163</v>
      </c>
    </row>
    <row r="22" spans="1:9" ht="16.5" customHeight="1">
      <c r="A22" s="106" t="s">
        <v>310</v>
      </c>
      <c r="B22" s="98"/>
      <c r="C22" s="11">
        <f>SUM(C14:C21)</f>
        <v>0</v>
      </c>
      <c r="D22" s="97" t="s">
        <v>849</v>
      </c>
      <c r="E22" s="98"/>
      <c r="F22" s="25">
        <f>SUM(F14:F21)</f>
        <v>0</v>
      </c>
      <c r="G22" s="97" t="s">
        <v>1674</v>
      </c>
      <c r="H22" s="98"/>
      <c r="I22" s="25">
        <f>SUM(I14:I21)</f>
        <v>0</v>
      </c>
    </row>
    <row r="23" spans="7:8" ht="15" customHeight="1">
      <c r="G23" s="101" t="s">
        <v>1159</v>
      </c>
      <c r="H23" s="100"/>
    </row>
    <row r="25" spans="1:3" ht="15" customHeight="1">
      <c r="A25" s="90" t="s">
        <v>659</v>
      </c>
      <c r="B25" s="91"/>
      <c r="C25" s="47">
        <f>('Stavební rozpočet'!AS615+'Stavební rozpočet'!AS638+'Stavební rozpočet'!AS641+'Stavební rozpočet'!AS648+'Stavební rozpočet'!AS652+'Stavební rozpočet'!AS657+'Stavební rozpočet'!AS663+'Stavební rozpočet'!AS670+'Stavební rozpočet'!AS675+'Stavební rozpočet'!AS678+'Stavební rozpočet'!AS683+'Stavební rozpočet'!AS687+'Stavební rozpočet'!AS700+'Stavební rozpočet'!AS711+'Stavební rozpočet'!AS747+'Stavební rozpočet'!AS751)</f>
        <v>0</v>
      </c>
    </row>
    <row r="26" spans="1:9" ht="15" customHeight="1">
      <c r="A26" s="92" t="s">
        <v>35</v>
      </c>
      <c r="B26" s="93"/>
      <c r="C26" s="59">
        <f>('Stavební rozpočet'!AT615+'Stavební rozpočet'!AT638+'Stavební rozpočet'!AT641+'Stavební rozpočet'!AT648+'Stavební rozpočet'!AT652+'Stavební rozpočet'!AT657+'Stavební rozpočet'!AT663+'Stavební rozpočet'!AT670+'Stavební rozpočet'!AT675+'Stavební rozpočet'!AT678+'Stavební rozpočet'!AT683+'Stavební rozpočet'!AT687+'Stavební rozpočet'!AT700+'Stavební rozpočet'!AT711+'Stavební rozpočet'!AT747+'Stavební rozpočet'!AT751)</f>
        <v>0</v>
      </c>
      <c r="D26" s="91" t="s">
        <v>345</v>
      </c>
      <c r="E26" s="91"/>
      <c r="F26" s="47">
        <f>ROUND(C26*(15/100),2)</f>
        <v>0</v>
      </c>
      <c r="G26" s="91" t="s">
        <v>234</v>
      </c>
      <c r="H26" s="91"/>
      <c r="I26" s="47">
        <f>SUM(C25:C27)</f>
        <v>0</v>
      </c>
    </row>
    <row r="27" spans="1:9" ht="15" customHeight="1">
      <c r="A27" s="92" t="s">
        <v>77</v>
      </c>
      <c r="B27" s="93"/>
      <c r="C27" s="59">
        <f>('Stavební rozpočet'!AU615+'Stavební rozpočet'!AU638+'Stavební rozpočet'!AU641+'Stavební rozpočet'!AU648+'Stavební rozpočet'!AU652+'Stavební rozpočet'!AU657+'Stavební rozpočet'!AU663+'Stavební rozpočet'!AU670+'Stavební rozpočet'!AU675+'Stavební rozpočet'!AU678+'Stavební rozpočet'!AU683+'Stavební rozpočet'!AU687+'Stavební rozpočet'!AU700+'Stavební rozpočet'!AU711+'Stavební rozpočet'!AU747+'Stavební rozpočet'!AU751)</f>
        <v>0</v>
      </c>
      <c r="D27" s="93" t="s">
        <v>1250</v>
      </c>
      <c r="E27" s="93"/>
      <c r="F27" s="59">
        <f>ROUND(C27*(21/100),2)</f>
        <v>0</v>
      </c>
      <c r="G27" s="93" t="s">
        <v>650</v>
      </c>
      <c r="H27" s="93"/>
      <c r="I27" s="59">
        <f>SUM(F26:F27)+I26</f>
        <v>0</v>
      </c>
    </row>
    <row r="29" spans="1:9" ht="15" customHeight="1">
      <c r="A29" s="87" t="s">
        <v>26</v>
      </c>
      <c r="B29" s="81"/>
      <c r="C29" s="82"/>
      <c r="D29" s="81" t="s">
        <v>1578</v>
      </c>
      <c r="E29" s="81"/>
      <c r="F29" s="82"/>
      <c r="G29" s="81" t="s">
        <v>1141</v>
      </c>
      <c r="H29" s="81"/>
      <c r="I29" s="82"/>
    </row>
    <row r="30" spans="1:9" ht="15" customHeight="1">
      <c r="A30" s="88" t="s">
        <v>1163</v>
      </c>
      <c r="B30" s="83"/>
      <c r="C30" s="84"/>
      <c r="D30" s="83" t="s">
        <v>1163</v>
      </c>
      <c r="E30" s="83"/>
      <c r="F30" s="84"/>
      <c r="G30" s="83" t="s">
        <v>1163</v>
      </c>
      <c r="H30" s="83"/>
      <c r="I30" s="84"/>
    </row>
    <row r="31" spans="1:9" ht="15" customHeight="1">
      <c r="A31" s="88" t="s">
        <v>1163</v>
      </c>
      <c r="B31" s="83"/>
      <c r="C31" s="84"/>
      <c r="D31" s="83" t="s">
        <v>1163</v>
      </c>
      <c r="E31" s="83"/>
      <c r="F31" s="84"/>
      <c r="G31" s="83" t="s">
        <v>1163</v>
      </c>
      <c r="H31" s="83"/>
      <c r="I31" s="84"/>
    </row>
    <row r="32" spans="1:9" ht="15" customHeight="1">
      <c r="A32" s="88" t="s">
        <v>1163</v>
      </c>
      <c r="B32" s="83"/>
      <c r="C32" s="84"/>
      <c r="D32" s="83" t="s">
        <v>1163</v>
      </c>
      <c r="E32" s="83"/>
      <c r="F32" s="84"/>
      <c r="G32" s="83" t="s">
        <v>1163</v>
      </c>
      <c r="H32" s="83"/>
      <c r="I32" s="84"/>
    </row>
    <row r="33" spans="1:9" ht="15" customHeight="1">
      <c r="A33" s="89" t="s">
        <v>307</v>
      </c>
      <c r="B33" s="85"/>
      <c r="C33" s="86"/>
      <c r="D33" s="85" t="s">
        <v>307</v>
      </c>
      <c r="E33" s="85"/>
      <c r="F33" s="86"/>
      <c r="G33" s="85" t="s">
        <v>307</v>
      </c>
      <c r="H33" s="85"/>
      <c r="I33" s="86"/>
    </row>
    <row r="34" ht="15" customHeight="1">
      <c r="A34" s="44" t="s">
        <v>144</v>
      </c>
    </row>
    <row r="35" spans="1:9" ht="12.75" customHeight="1">
      <c r="A35" s="63" t="s">
        <v>1163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5:B25"/>
    <mergeCell ref="A26:B26"/>
    <mergeCell ref="A27:B27"/>
    <mergeCell ref="D26:E26"/>
    <mergeCell ref="D27:E27"/>
    <mergeCell ref="G26:H26"/>
    <mergeCell ref="G27:H27"/>
    <mergeCell ref="A33:C33"/>
    <mergeCell ref="D29:F29"/>
    <mergeCell ref="D30:F30"/>
    <mergeCell ref="D31:F31"/>
    <mergeCell ref="D32:F32"/>
    <mergeCell ref="D33:F3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Ralaus</cp:lastModifiedBy>
  <dcterms:created xsi:type="dcterms:W3CDTF">2021-06-10T20:06:38Z</dcterms:created>
  <dcterms:modified xsi:type="dcterms:W3CDTF">2023-07-04T16:17:16Z</dcterms:modified>
  <cp:category/>
  <cp:version/>
  <cp:contentType/>
  <cp:contentStatus/>
</cp:coreProperties>
</file>