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8_OISM\investice města\INP-374 - 2.ZŠ - větrání ŠJ, podlaha kuchyně\"/>
    </mc:Choice>
  </mc:AlternateContent>
  <xr:revisionPtr revIDLastSave="0" documentId="8_{18B69B26-5059-4921-8351-088B4E2BC176}" xr6:coauthVersionLast="45" xr6:coauthVersionMax="45" xr10:uidLastSave="{00000000-0000-0000-0000-000000000000}"/>
  <bookViews>
    <workbookView xWindow="-120" yWindow="-120" windowWidth="24240" windowHeight="13140" firstSheet="1" activeTab="6" xr2:uid="{00000000-000D-0000-FFFF-FFFF00000000}"/>
  </bookViews>
  <sheets>
    <sheet name="Stavební rozpočet" sheetId="18" r:id="rId1"/>
    <sheet name="Stavební rozpočet - součet" sheetId="17" r:id="rId2"/>
    <sheet name="KL_rozpočtu vstupu" sheetId="16" r:id="rId3"/>
    <sheet name="KL_SOUČTOVÝ" sheetId="15" r:id="rId4"/>
    <sheet name="KL_Stavba_kuchyně" sheetId="1" r:id="rId5"/>
    <sheet name="VzorPolozky" sheetId="10" state="hidden" r:id="rId6"/>
    <sheet name="01 01. Pol" sheetId="12" r:id="rId7"/>
  </sheets>
  <externalReferences>
    <externalReference r:id="rId8"/>
    <externalReference r:id="rId9"/>
  </externalReferences>
  <definedNames>
    <definedName name="CelkemDPHVypocet" localSheetId="4">KL_Stavba_kuchyně!$H$42</definedName>
    <definedName name="CenaCelkem">KL_Stavba_kuchyně!$G$29</definedName>
    <definedName name="CenaCelkemBezDPH">KL_Stavba_kuchyně!$G$28</definedName>
    <definedName name="CenaCelkemVypocet" localSheetId="4">KL_Stavba_kuchyně!$I$42</definedName>
    <definedName name="cisloobjektu">KL_Stavba_kuchyně!$D$3</definedName>
    <definedName name="CisloRozpoctu">'[1]Krycí list'!$C$2</definedName>
    <definedName name="CisloStavby" localSheetId="4">KL_Stavba_kuchyně!$D$2</definedName>
    <definedName name="cislostavby">'[1]Krycí list'!$A$7</definedName>
    <definedName name="CisloStavebnihoRozpoctu">KL_Stavba_kuchyně!$D$4</definedName>
    <definedName name="dadresa">KL_Stavba_kuchyně!$D$12:$G$12</definedName>
    <definedName name="DIČ" localSheetId="4">KL_Stavba_kuchyně!$I$12</definedName>
    <definedName name="dmisto">KL_Stavba_kuchyně!$D$13:$G$13</definedName>
    <definedName name="DPHSni">KL_Stavba_kuchyně!$G$24</definedName>
    <definedName name="DPHZakl">KL_Stavba_kuchyně!$G$26</definedName>
    <definedName name="dpsc" localSheetId="4">KL_Stavba_kuchyně!$C$13</definedName>
    <definedName name="IČO" localSheetId="4">KL_Stavba_kuchyně!$I$11</definedName>
    <definedName name="Mena">KL_Stavba_kuchyně!$J$29</definedName>
    <definedName name="MistoStavby">KL_Stavba_kuchyně!$D$4</definedName>
    <definedName name="nazevobjektu">KL_Stavba_kuchyně!$E$3</definedName>
    <definedName name="NazevRozpoctu">'[1]Krycí list'!$D$2</definedName>
    <definedName name="NazevStavby" localSheetId="4">KL_Stavba_kuchyně!$E$2</definedName>
    <definedName name="nazevstavby">'[1]Krycí list'!$C$7</definedName>
    <definedName name="NazevStavebnihoRozpoctu">KL_Stavba_kuchyně!$E$4</definedName>
    <definedName name="oadresa">KL_Stavba_kuchyně!$D$6</definedName>
    <definedName name="Objednatel" localSheetId="4">KL_Stavba_kuchyně!$D$5</definedName>
    <definedName name="Objekt" localSheetId="4">KL_Stavba_kuchyně!$B$38</definedName>
    <definedName name="_xlnm.Print_Area" localSheetId="6">'01 01. Pol'!$A$1:$I$289</definedName>
    <definedName name="_xlnm.Print_Area" localSheetId="4">KL_Stavba_kuchyně!$A$1:$J$73</definedName>
    <definedName name="odic" localSheetId="4">KL_Stavba_kuchyně!$I$6</definedName>
    <definedName name="oico" localSheetId="4">KL_Stavba_kuchyně!$I$5</definedName>
    <definedName name="omisto" localSheetId="4">KL_Stavba_kuchyně!$D$7</definedName>
    <definedName name="onazev" localSheetId="4">KL_Stavba_kuchyně!$D$6</definedName>
    <definedName name="opsc" localSheetId="4">KL_Stavba_kuchyně!$C$7</definedName>
    <definedName name="padresa">KL_Stavba_kuchyně!$D$9</definedName>
    <definedName name="pdic">KL_Stavba_kuchyně!$I$9</definedName>
    <definedName name="pico">KL_Stavba_kuchyně!$I$8</definedName>
    <definedName name="pmisto">KL_Stavba_kuchyně!$D$10</definedName>
    <definedName name="PocetMJ">#REF!</definedName>
    <definedName name="PoptavkaID">KL_Stavba_kuchyně!$A$1</definedName>
    <definedName name="pPSC">KL_Stavba_kuchyně!$C$10</definedName>
    <definedName name="Projektant">KL_Stavba_kuchyně!$D$8</definedName>
    <definedName name="SazbaDPH1" localSheetId="4">KL_Stavba_kuchyně!$E$23</definedName>
    <definedName name="SazbaDPH1">'[1]Krycí list'!$C$30</definedName>
    <definedName name="SazbaDPH2" localSheetId="4">KL_Stavba_kuchyně!$E$25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KL_Stavba_kuchyně!$D$14</definedName>
    <definedName name="Z_B7E7C763_C459_487D_8ABA_5CFDDFBD5A84_.wvu.Cols" localSheetId="4" hidden="1">KL_Stavba_kuchyně!$A:$A</definedName>
    <definedName name="Z_B7E7C763_C459_487D_8ABA_5CFDDFBD5A84_.wvu.PrintArea" localSheetId="4" hidden="1">KL_Stavba_kuchyně!$B$1:$J$36</definedName>
    <definedName name="ZakladDPHSni">KL_Stavba_kuchyně!$G$23</definedName>
    <definedName name="ZakladDPHSniVypocet" localSheetId="3">KL_SOUČTOVÝ!$F$42</definedName>
    <definedName name="ZakladDPHSniVypocet" localSheetId="4">KL_Stavba_kuchyně!$F$42</definedName>
    <definedName name="ZakladDPHZakl">KL_Stavba_kuchyně!$G$25</definedName>
    <definedName name="ZakladDPHZaklVypocet" localSheetId="3">KL_SOUČTOVÝ!$G$42</definedName>
    <definedName name="ZakladDPHZaklVypocet" localSheetId="4">KL_Stavba_kuchyně!$G$42</definedName>
    <definedName name="Zaokrouhleni">KL_Stavba_kuchyně!$G$27</definedName>
    <definedName name="Zhotovitel">KL_Stavba_kuchyně!$D$11:$G$11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7" l="1"/>
  <c r="E6" i="17"/>
  <c r="E4" i="17"/>
  <c r="E2" i="17"/>
  <c r="B6" i="17"/>
  <c r="B4" i="17"/>
  <c r="B2" i="17"/>
  <c r="C27" i="16"/>
  <c r="F22" i="16"/>
  <c r="I10" i="16"/>
  <c r="F10" i="16"/>
  <c r="F8" i="16"/>
  <c r="F6" i="16"/>
  <c r="F4" i="16"/>
  <c r="F2" i="16"/>
  <c r="B8" i="17"/>
  <c r="AT45" i="18"/>
  <c r="AF45" i="18"/>
  <c r="AN45" i="18" s="1"/>
  <c r="AE45" i="18"/>
  <c r="AM45" i="18" s="1"/>
  <c r="AB45" i="18"/>
  <c r="Z45" i="18"/>
  <c r="X45" i="18"/>
  <c r="W45" i="18"/>
  <c r="V45" i="18"/>
  <c r="U45" i="18"/>
  <c r="T45" i="18"/>
  <c r="P45" i="18"/>
  <c r="L45" i="18"/>
  <c r="AV45" i="18" s="1"/>
  <c r="J45" i="18"/>
  <c r="AA45" i="18" s="1"/>
  <c r="AJ44" i="18" s="1"/>
  <c r="H45" i="18"/>
  <c r="R45" i="18" s="1"/>
  <c r="AK44" i="18"/>
  <c r="AI44" i="18"/>
  <c r="L44" i="18"/>
  <c r="G20" i="17" s="1"/>
  <c r="AT43" i="18"/>
  <c r="AF43" i="18"/>
  <c r="AN43" i="18" s="1"/>
  <c r="AE43" i="18"/>
  <c r="AM43" i="18" s="1"/>
  <c r="AB43" i="18"/>
  <c r="Z43" i="18"/>
  <c r="X43" i="18"/>
  <c r="W43" i="18"/>
  <c r="V43" i="18"/>
  <c r="U43" i="18"/>
  <c r="T43" i="18"/>
  <c r="P43" i="18"/>
  <c r="L43" i="18"/>
  <c r="AV43" i="18" s="1"/>
  <c r="J43" i="18"/>
  <c r="AA43" i="18" s="1"/>
  <c r="H43" i="18"/>
  <c r="R43" i="18" s="1"/>
  <c r="AT42" i="18"/>
  <c r="AF42" i="18"/>
  <c r="AN42" i="18" s="1"/>
  <c r="AE42" i="18"/>
  <c r="AM42" i="18" s="1"/>
  <c r="AB42" i="18"/>
  <c r="AK41" i="18" s="1"/>
  <c r="Z42" i="18"/>
  <c r="AI41" i="18" s="1"/>
  <c r="X42" i="18"/>
  <c r="W42" i="18"/>
  <c r="V42" i="18"/>
  <c r="U42" i="18"/>
  <c r="T42" i="18"/>
  <c r="P42" i="18"/>
  <c r="L42" i="18"/>
  <c r="J42" i="18"/>
  <c r="AA42" i="18" s="1"/>
  <c r="H42" i="18"/>
  <c r="R42" i="18" s="1"/>
  <c r="AT40" i="18"/>
  <c r="AF40" i="18"/>
  <c r="AN40" i="18" s="1"/>
  <c r="AE40" i="18"/>
  <c r="AM40" i="18" s="1"/>
  <c r="AB40" i="18"/>
  <c r="Z40" i="18"/>
  <c r="X40" i="18"/>
  <c r="W40" i="18"/>
  <c r="V40" i="18"/>
  <c r="U40" i="18"/>
  <c r="T40" i="18"/>
  <c r="S40" i="18"/>
  <c r="R40" i="18"/>
  <c r="L40" i="18"/>
  <c r="AV40" i="18" s="1"/>
  <c r="J40" i="18"/>
  <c r="AA40" i="18" s="1"/>
  <c r="H40" i="18"/>
  <c r="AT39" i="18"/>
  <c r="AF39" i="18"/>
  <c r="AN39" i="18" s="1"/>
  <c r="AE39" i="18"/>
  <c r="AM39" i="18" s="1"/>
  <c r="AB39" i="18"/>
  <c r="Z39" i="18"/>
  <c r="X39" i="18"/>
  <c r="W39" i="18"/>
  <c r="V39" i="18"/>
  <c r="U39" i="18"/>
  <c r="T39" i="18"/>
  <c r="S39" i="18"/>
  <c r="R39" i="18"/>
  <c r="L39" i="18"/>
  <c r="AV39" i="18" s="1"/>
  <c r="J39" i="18"/>
  <c r="AA39" i="18" s="1"/>
  <c r="H39" i="18"/>
  <c r="AT38" i="18"/>
  <c r="AF38" i="18"/>
  <c r="AN38" i="18" s="1"/>
  <c r="AE38" i="18"/>
  <c r="AM38" i="18" s="1"/>
  <c r="AS38" i="18" s="1"/>
  <c r="AB38" i="18"/>
  <c r="Z38" i="18"/>
  <c r="X38" i="18"/>
  <c r="W38" i="18"/>
  <c r="V38" i="18"/>
  <c r="U38" i="18"/>
  <c r="T38" i="18"/>
  <c r="S38" i="18"/>
  <c r="R38" i="18"/>
  <c r="L38" i="18"/>
  <c r="AV38" i="18" s="1"/>
  <c r="J38" i="18"/>
  <c r="AA38" i="18" s="1"/>
  <c r="H38" i="18"/>
  <c r="AT37" i="18"/>
  <c r="AF37" i="18"/>
  <c r="AN37" i="18" s="1"/>
  <c r="AE37" i="18"/>
  <c r="AM37" i="18" s="1"/>
  <c r="AB37" i="18"/>
  <c r="Z37" i="18"/>
  <c r="AI36" i="18" s="1"/>
  <c r="X37" i="18"/>
  <c r="W37" i="18"/>
  <c r="V37" i="18"/>
  <c r="U37" i="18"/>
  <c r="T37" i="18"/>
  <c r="S37" i="18"/>
  <c r="R37" i="18"/>
  <c r="L37" i="18"/>
  <c r="AV37" i="18" s="1"/>
  <c r="J37" i="18"/>
  <c r="AA37" i="18" s="1"/>
  <c r="H37" i="18"/>
  <c r="AT35" i="18"/>
  <c r="AF35" i="18"/>
  <c r="AN35" i="18" s="1"/>
  <c r="AE35" i="18"/>
  <c r="H35" i="18" s="1"/>
  <c r="AB35" i="18"/>
  <c r="AK34" i="18" s="1"/>
  <c r="Z35" i="18"/>
  <c r="AI34" i="18" s="1"/>
  <c r="X35" i="18"/>
  <c r="W35" i="18"/>
  <c r="V35" i="18"/>
  <c r="U35" i="18"/>
  <c r="T35" i="18"/>
  <c r="S35" i="18"/>
  <c r="R35" i="18"/>
  <c r="L35" i="18"/>
  <c r="L34" i="18" s="1"/>
  <c r="G17" i="17" s="1"/>
  <c r="J35" i="18"/>
  <c r="P35" i="18" s="1"/>
  <c r="AT33" i="18"/>
  <c r="AF33" i="18"/>
  <c r="AN33" i="18" s="1"/>
  <c r="AE33" i="18"/>
  <c r="AM33" i="18" s="1"/>
  <c r="AS33" i="18" s="1"/>
  <c r="AB33" i="18"/>
  <c r="AK32" i="18" s="1"/>
  <c r="Z33" i="18"/>
  <c r="AI32" i="18" s="1"/>
  <c r="X33" i="18"/>
  <c r="W33" i="18"/>
  <c r="V33" i="18"/>
  <c r="U33" i="18"/>
  <c r="T33" i="18"/>
  <c r="S33" i="18"/>
  <c r="R33" i="18"/>
  <c r="L33" i="18"/>
  <c r="AV33" i="18" s="1"/>
  <c r="J33" i="18"/>
  <c r="AA33" i="18" s="1"/>
  <c r="AJ32" i="18" s="1"/>
  <c r="H33" i="18"/>
  <c r="H32" i="18" s="1"/>
  <c r="D16" i="17" s="1"/>
  <c r="AT31" i="18"/>
  <c r="AF31" i="18"/>
  <c r="AN31" i="18" s="1"/>
  <c r="AE31" i="18"/>
  <c r="H31" i="18" s="1"/>
  <c r="AB31" i="18"/>
  <c r="Z31" i="18"/>
  <c r="AI29" i="18" s="1"/>
  <c r="X31" i="18"/>
  <c r="W31" i="18"/>
  <c r="V31" i="18"/>
  <c r="U31" i="18"/>
  <c r="T31" i="18"/>
  <c r="P31" i="18"/>
  <c r="L31" i="18"/>
  <c r="AV31" i="18" s="1"/>
  <c r="J31" i="18"/>
  <c r="AA31" i="18" s="1"/>
  <c r="AT30" i="18"/>
  <c r="AF30" i="18"/>
  <c r="AN30" i="18" s="1"/>
  <c r="AE30" i="18"/>
  <c r="H30" i="18" s="1"/>
  <c r="AB30" i="18"/>
  <c r="AK29" i="18" s="1"/>
  <c r="Z30" i="18"/>
  <c r="X30" i="18"/>
  <c r="W30" i="18"/>
  <c r="V30" i="18"/>
  <c r="U30" i="18"/>
  <c r="T30" i="18"/>
  <c r="P30" i="18"/>
  <c r="L30" i="18"/>
  <c r="L29" i="18" s="1"/>
  <c r="G15" i="17" s="1"/>
  <c r="J30" i="18"/>
  <c r="AA30" i="18" s="1"/>
  <c r="AT28" i="18"/>
  <c r="AF28" i="18"/>
  <c r="AN28" i="18" s="1"/>
  <c r="AE28" i="18"/>
  <c r="AM28" i="18" s="1"/>
  <c r="AB28" i="18"/>
  <c r="AK27" i="18" s="1"/>
  <c r="Z28" i="18"/>
  <c r="AI27" i="18" s="1"/>
  <c r="X28" i="18"/>
  <c r="W28" i="18"/>
  <c r="V28" i="18"/>
  <c r="U28" i="18"/>
  <c r="T28" i="18"/>
  <c r="P28" i="18"/>
  <c r="L28" i="18"/>
  <c r="AV28" i="18" s="1"/>
  <c r="J28" i="18"/>
  <c r="AA28" i="18" s="1"/>
  <c r="AJ27" i="18" s="1"/>
  <c r="H28" i="18"/>
  <c r="R28" i="18" s="1"/>
  <c r="L27" i="18"/>
  <c r="G14" i="17" s="1"/>
  <c r="AT26" i="18"/>
  <c r="AF26" i="18"/>
  <c r="AN26" i="18" s="1"/>
  <c r="AE26" i="18"/>
  <c r="H26" i="18" s="1"/>
  <c r="AB26" i="18"/>
  <c r="Z26" i="18"/>
  <c r="X26" i="18"/>
  <c r="W26" i="18"/>
  <c r="V26" i="18"/>
  <c r="S26" i="18"/>
  <c r="R26" i="18"/>
  <c r="P26" i="18"/>
  <c r="L26" i="18"/>
  <c r="AV26" i="18" s="1"/>
  <c r="J26" i="18"/>
  <c r="AA26" i="18" s="1"/>
  <c r="AT25" i="18"/>
  <c r="AF25" i="18"/>
  <c r="AN25" i="18" s="1"/>
  <c r="AE25" i="18"/>
  <c r="H25" i="18" s="1"/>
  <c r="AB25" i="18"/>
  <c r="Z25" i="18"/>
  <c r="X25" i="18"/>
  <c r="W25" i="18"/>
  <c r="V25" i="18"/>
  <c r="S25" i="18"/>
  <c r="R25" i="18"/>
  <c r="P25" i="18"/>
  <c r="L25" i="18"/>
  <c r="AV25" i="18" s="1"/>
  <c r="J25" i="18"/>
  <c r="AA25" i="18" s="1"/>
  <c r="AT24" i="18"/>
  <c r="AF24" i="18"/>
  <c r="AN24" i="18" s="1"/>
  <c r="AE24" i="18"/>
  <c r="H24" i="18" s="1"/>
  <c r="AB24" i="18"/>
  <c r="Z24" i="18"/>
  <c r="X24" i="18"/>
  <c r="W24" i="18"/>
  <c r="V24" i="18"/>
  <c r="S24" i="18"/>
  <c r="R24" i="18"/>
  <c r="P24" i="18"/>
  <c r="L24" i="18"/>
  <c r="AV24" i="18" s="1"/>
  <c r="J24" i="18"/>
  <c r="AA24" i="18" s="1"/>
  <c r="AT23" i="18"/>
  <c r="AF23" i="18"/>
  <c r="AN23" i="18" s="1"/>
  <c r="AE23" i="18"/>
  <c r="H23" i="18" s="1"/>
  <c r="AB23" i="18"/>
  <c r="Z23" i="18"/>
  <c r="X23" i="18"/>
  <c r="W23" i="18"/>
  <c r="V23" i="18"/>
  <c r="S23" i="18"/>
  <c r="R23" i="18"/>
  <c r="P23" i="18"/>
  <c r="L23" i="18"/>
  <c r="AV23" i="18" s="1"/>
  <c r="J23" i="18"/>
  <c r="AA23" i="18" s="1"/>
  <c r="AT22" i="18"/>
  <c r="AF22" i="18"/>
  <c r="AN22" i="18" s="1"/>
  <c r="AE22" i="18"/>
  <c r="H22" i="18" s="1"/>
  <c r="AB22" i="18"/>
  <c r="Z22" i="18"/>
  <c r="X22" i="18"/>
  <c r="W22" i="18"/>
  <c r="V22" i="18"/>
  <c r="S22" i="18"/>
  <c r="R22" i="18"/>
  <c r="P22" i="18"/>
  <c r="L22" i="18"/>
  <c r="J22" i="18"/>
  <c r="AA22" i="18" s="1"/>
  <c r="AI21" i="18"/>
  <c r="AT20" i="18"/>
  <c r="AF20" i="18"/>
  <c r="AN20" i="18" s="1"/>
  <c r="AE20" i="18"/>
  <c r="AM20" i="18" s="1"/>
  <c r="AB20" i="18"/>
  <c r="Z20" i="18"/>
  <c r="X20" i="18"/>
  <c r="W20" i="18"/>
  <c r="V20" i="18"/>
  <c r="S20" i="18"/>
  <c r="R20" i="18"/>
  <c r="P20" i="18"/>
  <c r="L20" i="18"/>
  <c r="AV20" i="18" s="1"/>
  <c r="J20" i="18"/>
  <c r="AA20" i="18" s="1"/>
  <c r="H20" i="18"/>
  <c r="T20" i="18" s="1"/>
  <c r="AT19" i="18"/>
  <c r="AF19" i="18"/>
  <c r="AN19" i="18" s="1"/>
  <c r="AE19" i="18"/>
  <c r="AM19" i="18" s="1"/>
  <c r="AB19" i="18"/>
  <c r="Z19" i="18"/>
  <c r="X19" i="18"/>
  <c r="W19" i="18"/>
  <c r="V19" i="18"/>
  <c r="S19" i="18"/>
  <c r="R19" i="18"/>
  <c r="P19" i="18"/>
  <c r="L19" i="18"/>
  <c r="AV19" i="18" s="1"/>
  <c r="J19" i="18"/>
  <c r="AA19" i="18" s="1"/>
  <c r="AT18" i="18"/>
  <c r="AF18" i="18"/>
  <c r="AN18" i="18" s="1"/>
  <c r="AE18" i="18"/>
  <c r="AM18" i="18" s="1"/>
  <c r="AB18" i="18"/>
  <c r="Z18" i="18"/>
  <c r="X18" i="18"/>
  <c r="W18" i="18"/>
  <c r="V18" i="18"/>
  <c r="S18" i="18"/>
  <c r="R18" i="18"/>
  <c r="P18" i="18"/>
  <c r="L18" i="18"/>
  <c r="AV18" i="18" s="1"/>
  <c r="J18" i="18"/>
  <c r="AA18" i="18" s="1"/>
  <c r="H18" i="18"/>
  <c r="T18" i="18" s="1"/>
  <c r="AT17" i="18"/>
  <c r="AF17" i="18"/>
  <c r="AN17" i="18" s="1"/>
  <c r="AE17" i="18"/>
  <c r="AM17" i="18" s="1"/>
  <c r="AB17" i="18"/>
  <c r="Z17" i="18"/>
  <c r="X17" i="18"/>
  <c r="W17" i="18"/>
  <c r="V17" i="18"/>
  <c r="S17" i="18"/>
  <c r="R17" i="18"/>
  <c r="P17" i="18"/>
  <c r="L17" i="18"/>
  <c r="AV17" i="18" s="1"/>
  <c r="J17" i="18"/>
  <c r="AA17" i="18" s="1"/>
  <c r="AT16" i="18"/>
  <c r="AF16" i="18"/>
  <c r="AN16" i="18" s="1"/>
  <c r="AE16" i="18"/>
  <c r="AM16" i="18" s="1"/>
  <c r="AB16" i="18"/>
  <c r="Z16" i="18"/>
  <c r="X16" i="18"/>
  <c r="W16" i="18"/>
  <c r="V16" i="18"/>
  <c r="S16" i="18"/>
  <c r="R16" i="18"/>
  <c r="P16" i="18"/>
  <c r="L16" i="18"/>
  <c r="AV16" i="18" s="1"/>
  <c r="J16" i="18"/>
  <c r="AA16" i="18" s="1"/>
  <c r="H16" i="18"/>
  <c r="T16" i="18" s="1"/>
  <c r="AT15" i="18"/>
  <c r="AF15" i="18"/>
  <c r="AN15" i="18" s="1"/>
  <c r="AE15" i="18"/>
  <c r="AM15" i="18" s="1"/>
  <c r="AB15" i="18"/>
  <c r="Z15" i="18"/>
  <c r="X15" i="18"/>
  <c r="W15" i="18"/>
  <c r="V15" i="18"/>
  <c r="S15" i="18"/>
  <c r="R15" i="18"/>
  <c r="P15" i="18"/>
  <c r="L15" i="18"/>
  <c r="AV15" i="18" s="1"/>
  <c r="J15" i="18"/>
  <c r="AA15" i="18" s="1"/>
  <c r="L14" i="18"/>
  <c r="G12" i="17" s="1"/>
  <c r="AT13" i="18"/>
  <c r="AF13" i="18"/>
  <c r="AN13" i="18" s="1"/>
  <c r="AE13" i="18"/>
  <c r="H13" i="18" s="1"/>
  <c r="AB13" i="18"/>
  <c r="C29" i="16" s="1"/>
  <c r="F29" i="16" s="1"/>
  <c r="Z13" i="18"/>
  <c r="AI12" i="18" s="1"/>
  <c r="X13" i="18"/>
  <c r="W13" i="18"/>
  <c r="V13" i="18"/>
  <c r="C18" i="16" s="1"/>
  <c r="U13" i="18"/>
  <c r="T13" i="18"/>
  <c r="P13" i="18"/>
  <c r="L13" i="18"/>
  <c r="L12" i="18" s="1"/>
  <c r="G11" i="17" s="1"/>
  <c r="J13" i="18"/>
  <c r="AA13" i="18" s="1"/>
  <c r="AJ12" i="18" s="1"/>
  <c r="G240" i="12"/>
  <c r="I28" i="15"/>
  <c r="I27" i="15"/>
  <c r="F27" i="15"/>
  <c r="I26" i="15"/>
  <c r="I25" i="15"/>
  <c r="I24" i="15"/>
  <c r="I23" i="15"/>
  <c r="AK12" i="18" l="1"/>
  <c r="C20" i="16"/>
  <c r="AJ14" i="18"/>
  <c r="L21" i="18"/>
  <c r="G13" i="17" s="1"/>
  <c r="H36" i="18"/>
  <c r="D18" i="17" s="1"/>
  <c r="L41" i="18"/>
  <c r="G19" i="17" s="1"/>
  <c r="AK14" i="18"/>
  <c r="AJ36" i="18"/>
  <c r="AS40" i="18"/>
  <c r="I43" i="18"/>
  <c r="S43" i="18" s="1"/>
  <c r="H15" i="18"/>
  <c r="T15" i="18" s="1"/>
  <c r="H17" i="18"/>
  <c r="T17" i="18" s="1"/>
  <c r="L32" i="18"/>
  <c r="G16" i="17" s="1"/>
  <c r="L36" i="18"/>
  <c r="G18" i="17" s="1"/>
  <c r="AK36" i="18"/>
  <c r="AJ41" i="18"/>
  <c r="AS45" i="18"/>
  <c r="H41" i="18"/>
  <c r="D19" i="17" s="1"/>
  <c r="I42" i="18"/>
  <c r="S42" i="18" s="1"/>
  <c r="AA35" i="18"/>
  <c r="AJ34" i="18" s="1"/>
  <c r="AJ29" i="18"/>
  <c r="AS28" i="18"/>
  <c r="AI14" i="18"/>
  <c r="C19" i="16"/>
  <c r="H19" i="18"/>
  <c r="T19" i="18" s="1"/>
  <c r="AK21" i="18"/>
  <c r="AJ21" i="18"/>
  <c r="R13" i="18"/>
  <c r="I13" i="18"/>
  <c r="H12" i="18"/>
  <c r="D11" i="17" s="1"/>
  <c r="R30" i="18"/>
  <c r="I30" i="18"/>
  <c r="H29" i="18"/>
  <c r="D15" i="17" s="1"/>
  <c r="R31" i="18"/>
  <c r="I31" i="18"/>
  <c r="S31" i="18" s="1"/>
  <c r="T22" i="18"/>
  <c r="I22" i="18"/>
  <c r="H21" i="18"/>
  <c r="D13" i="17" s="1"/>
  <c r="T23" i="18"/>
  <c r="I23" i="18"/>
  <c r="U23" i="18" s="1"/>
  <c r="T24" i="18"/>
  <c r="I24" i="18"/>
  <c r="U24" i="18" s="1"/>
  <c r="T25" i="18"/>
  <c r="I25" i="18"/>
  <c r="U25" i="18" s="1"/>
  <c r="T26" i="18"/>
  <c r="I26" i="18"/>
  <c r="U26" i="18" s="1"/>
  <c r="I35" i="18"/>
  <c r="I34" i="18" s="1"/>
  <c r="E17" i="17" s="1"/>
  <c r="H34" i="18"/>
  <c r="D17" i="17" s="1"/>
  <c r="F17" i="17" s="1"/>
  <c r="I17" i="17" s="1"/>
  <c r="AS15" i="18"/>
  <c r="AS16" i="18"/>
  <c r="AS17" i="18"/>
  <c r="AS18" i="18"/>
  <c r="AS19" i="18"/>
  <c r="AS20" i="18"/>
  <c r="AS37" i="18"/>
  <c r="AS39" i="18"/>
  <c r="AS42" i="18"/>
  <c r="AS43" i="18"/>
  <c r="AM13" i="18"/>
  <c r="AS13" i="18" s="1"/>
  <c r="AV13" i="18"/>
  <c r="AM22" i="18"/>
  <c r="AS22" i="18" s="1"/>
  <c r="AV22" i="18"/>
  <c r="AM23" i="18"/>
  <c r="AS23" i="18" s="1"/>
  <c r="AM24" i="18"/>
  <c r="AS24" i="18" s="1"/>
  <c r="AM25" i="18"/>
  <c r="AS25" i="18" s="1"/>
  <c r="AM26" i="18"/>
  <c r="AS26" i="18" s="1"/>
  <c r="AM30" i="18"/>
  <c r="AS30" i="18" s="1"/>
  <c r="AV30" i="18"/>
  <c r="AM31" i="18"/>
  <c r="AS31" i="18" s="1"/>
  <c r="P33" i="18"/>
  <c r="AM35" i="18"/>
  <c r="AS35" i="18" s="1"/>
  <c r="AV35" i="18"/>
  <c r="P37" i="18"/>
  <c r="P38" i="18"/>
  <c r="P39" i="18"/>
  <c r="P40" i="18"/>
  <c r="AV42" i="18"/>
  <c r="I15" i="18"/>
  <c r="I16" i="18"/>
  <c r="U16" i="18" s="1"/>
  <c r="I18" i="18"/>
  <c r="U18" i="18" s="1"/>
  <c r="I19" i="18"/>
  <c r="U19" i="18" s="1"/>
  <c r="I20" i="18"/>
  <c r="U20" i="18" s="1"/>
  <c r="H27" i="18"/>
  <c r="D14" i="17" s="1"/>
  <c r="I28" i="18"/>
  <c r="I33" i="18"/>
  <c r="I32" i="18" s="1"/>
  <c r="I37" i="18"/>
  <c r="I38" i="18"/>
  <c r="I39" i="18"/>
  <c r="I40" i="18"/>
  <c r="I41" i="18"/>
  <c r="H44" i="18"/>
  <c r="D20" i="17" s="1"/>
  <c r="I45" i="18"/>
  <c r="R279" i="12"/>
  <c r="F40" i="1" s="1"/>
  <c r="S279" i="12"/>
  <c r="G41" i="1" s="1"/>
  <c r="G8" i="12"/>
  <c r="G11" i="12"/>
  <c r="G10" i="12" s="1"/>
  <c r="G15" i="12"/>
  <c r="G17" i="12"/>
  <c r="G43" i="12"/>
  <c r="G44" i="12"/>
  <c r="G46" i="12"/>
  <c r="G48" i="12"/>
  <c r="G47" i="12" s="1"/>
  <c r="I52" i="1" s="1"/>
  <c r="G49" i="12"/>
  <c r="G51" i="12"/>
  <c r="G50" i="12" s="1"/>
  <c r="I53" i="1" s="1"/>
  <c r="G59" i="12"/>
  <c r="G62" i="12"/>
  <c r="G65" i="12"/>
  <c r="G73" i="12"/>
  <c r="G76" i="12"/>
  <c r="G78" i="12"/>
  <c r="G81" i="12"/>
  <c r="G80" i="12" s="1"/>
  <c r="I55" i="1" s="1"/>
  <c r="G83" i="12"/>
  <c r="G84" i="12"/>
  <c r="G87" i="12"/>
  <c r="G89" i="12"/>
  <c r="G90" i="12"/>
  <c r="G92" i="12"/>
  <c r="G94" i="12"/>
  <c r="G91" i="12" s="1"/>
  <c r="I57" i="1" s="1"/>
  <c r="G95" i="12"/>
  <c r="G96" i="12"/>
  <c r="G97" i="12"/>
  <c r="G98" i="12"/>
  <c r="G99" i="12"/>
  <c r="G100" i="12"/>
  <c r="G101" i="12"/>
  <c r="G102" i="12"/>
  <c r="G103" i="12"/>
  <c r="G104" i="12"/>
  <c r="G106" i="12"/>
  <c r="G108" i="12"/>
  <c r="G110" i="12"/>
  <c r="G111" i="12"/>
  <c r="G112" i="12"/>
  <c r="G113" i="12"/>
  <c r="G109" i="12" s="1"/>
  <c r="I58" i="1" s="1"/>
  <c r="G114" i="12"/>
  <c r="G115" i="12"/>
  <c r="G116" i="12"/>
  <c r="G117" i="12"/>
  <c r="G118" i="12"/>
  <c r="G119" i="12"/>
  <c r="G120" i="12"/>
  <c r="G121" i="12"/>
  <c r="G122" i="12"/>
  <c r="G124" i="12"/>
  <c r="G125" i="12"/>
  <c r="G126" i="12"/>
  <c r="G127" i="12"/>
  <c r="G128" i="12"/>
  <c r="G129" i="12"/>
  <c r="G130" i="12"/>
  <c r="G131" i="12"/>
  <c r="G133" i="12"/>
  <c r="G135" i="12"/>
  <c r="G136" i="12"/>
  <c r="G134" i="12" s="1"/>
  <c r="I61" i="1" s="1"/>
  <c r="G138" i="12"/>
  <c r="G141" i="12"/>
  <c r="G142" i="12"/>
  <c r="G144" i="12"/>
  <c r="G151" i="12"/>
  <c r="G152" i="12"/>
  <c r="G155" i="12"/>
  <c r="G156" i="12"/>
  <c r="G158" i="12"/>
  <c r="G168" i="12"/>
  <c r="G169" i="12"/>
  <c r="G170" i="12"/>
  <c r="G172" i="12"/>
  <c r="G173" i="12"/>
  <c r="G175" i="12"/>
  <c r="G176" i="12"/>
  <c r="G174" i="12" s="1"/>
  <c r="I65" i="1" s="1"/>
  <c r="G179" i="12"/>
  <c r="G184" i="12"/>
  <c r="G187" i="12"/>
  <c r="G189" i="12"/>
  <c r="G190" i="12"/>
  <c r="G192" i="12"/>
  <c r="G195" i="12"/>
  <c r="G202" i="12"/>
  <c r="G201" i="12" s="1"/>
  <c r="I67" i="1" s="1"/>
  <c r="G203" i="12"/>
  <c r="G205" i="12"/>
  <c r="G206" i="12"/>
  <c r="G207" i="12"/>
  <c r="G208" i="12"/>
  <c r="G209" i="12"/>
  <c r="G210" i="12"/>
  <c r="G211" i="12"/>
  <c r="G213" i="12"/>
  <c r="G214" i="12"/>
  <c r="G212" i="12" s="1"/>
  <c r="I69" i="1" s="1"/>
  <c r="I18" i="1" s="1"/>
  <c r="G215" i="12"/>
  <c r="G216" i="12"/>
  <c r="G217" i="12"/>
  <c r="G218" i="12"/>
  <c r="G219" i="12"/>
  <c r="G220" i="12"/>
  <c r="G221" i="12"/>
  <c r="G222" i="12"/>
  <c r="G224" i="12"/>
  <c r="G226" i="12"/>
  <c r="G228" i="12"/>
  <c r="G230" i="12"/>
  <c r="G232" i="12"/>
  <c r="G234" i="12"/>
  <c r="G236" i="12"/>
  <c r="G238" i="12"/>
  <c r="G241" i="12"/>
  <c r="G242" i="12"/>
  <c r="G244" i="12"/>
  <c r="G246" i="12"/>
  <c r="G248" i="12"/>
  <c r="G250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6" i="12"/>
  <c r="G267" i="12"/>
  <c r="G268" i="12"/>
  <c r="G269" i="12"/>
  <c r="G271" i="12"/>
  <c r="G270" i="12" s="1"/>
  <c r="I71" i="1" s="1"/>
  <c r="G272" i="12"/>
  <c r="G273" i="12"/>
  <c r="G274" i="12"/>
  <c r="G275" i="12"/>
  <c r="I20" i="1"/>
  <c r="G27" i="1"/>
  <c r="J28" i="1"/>
  <c r="J26" i="1"/>
  <c r="G38" i="1"/>
  <c r="F38" i="1"/>
  <c r="J23" i="1"/>
  <c r="J24" i="1"/>
  <c r="J25" i="1"/>
  <c r="J27" i="1"/>
  <c r="E24" i="1"/>
  <c r="E26" i="1"/>
  <c r="F39" i="1"/>
  <c r="F42" i="1" s="1"/>
  <c r="G191" i="12"/>
  <c r="I66" i="1" s="1"/>
  <c r="G40" i="1"/>
  <c r="G39" i="1"/>
  <c r="G42" i="1" s="1"/>
  <c r="G265" i="12"/>
  <c r="I70" i="1" s="1"/>
  <c r="G137" i="12"/>
  <c r="I62" i="1" s="1"/>
  <c r="G132" i="12"/>
  <c r="I60" i="1" s="1"/>
  <c r="G7" i="12"/>
  <c r="I49" i="1" s="1"/>
  <c r="G14" i="12"/>
  <c r="I51" i="1" s="1"/>
  <c r="G24" i="1"/>
  <c r="H14" i="18" l="1"/>
  <c r="D12" i="17" s="1"/>
  <c r="G61" i="12"/>
  <c r="I54" i="1" s="1"/>
  <c r="I17" i="18"/>
  <c r="U17" i="18" s="1"/>
  <c r="G204" i="12"/>
  <c r="I68" i="1" s="1"/>
  <c r="G157" i="12"/>
  <c r="I64" i="1" s="1"/>
  <c r="G143" i="12"/>
  <c r="I63" i="1" s="1"/>
  <c r="G123" i="12"/>
  <c r="I59" i="1" s="1"/>
  <c r="G82" i="12"/>
  <c r="I56" i="1" s="1"/>
  <c r="I17" i="1" s="1"/>
  <c r="J41" i="18"/>
  <c r="E19" i="17"/>
  <c r="F19" i="17"/>
  <c r="I19" i="17" s="1"/>
  <c r="C21" i="16"/>
  <c r="J32" i="18"/>
  <c r="E16" i="17"/>
  <c r="F16" i="17" s="1"/>
  <c r="I16" i="17" s="1"/>
  <c r="C14" i="16"/>
  <c r="C16" i="16"/>
  <c r="U15" i="18"/>
  <c r="U22" i="18"/>
  <c r="I21" i="18"/>
  <c r="E13" i="17" s="1"/>
  <c r="F13" i="17" s="1"/>
  <c r="I13" i="17" s="1"/>
  <c r="S30" i="18"/>
  <c r="I29" i="18"/>
  <c r="E15" i="17" s="1"/>
  <c r="F15" i="17" s="1"/>
  <c r="I15" i="17" s="1"/>
  <c r="S45" i="18"/>
  <c r="I44" i="18"/>
  <c r="S28" i="18"/>
  <c r="I27" i="18"/>
  <c r="S13" i="18"/>
  <c r="C15" i="16" s="1"/>
  <c r="I12" i="18"/>
  <c r="I36" i="18"/>
  <c r="J34" i="18"/>
  <c r="J29" i="18"/>
  <c r="H39" i="1"/>
  <c r="I39" i="1" s="1"/>
  <c r="I42" i="1" s="1"/>
  <c r="J41" i="1" s="1"/>
  <c r="F41" i="1"/>
  <c r="H41" i="1" s="1"/>
  <c r="G28" i="1"/>
  <c r="H40" i="1"/>
  <c r="I40" i="1" s="1"/>
  <c r="I41" i="1"/>
  <c r="I50" i="1"/>
  <c r="F277" i="12" l="1"/>
  <c r="G277" i="12" s="1"/>
  <c r="G276" i="12" s="1"/>
  <c r="I72" i="1" s="1"/>
  <c r="I19" i="1" s="1"/>
  <c r="I14" i="18"/>
  <c r="E12" i="17" s="1"/>
  <c r="F12" i="17" s="1"/>
  <c r="I12" i="17" s="1"/>
  <c r="J44" i="18"/>
  <c r="E20" i="17"/>
  <c r="F20" i="17" s="1"/>
  <c r="I20" i="17" s="1"/>
  <c r="J36" i="18"/>
  <c r="E18" i="17"/>
  <c r="F18" i="17" s="1"/>
  <c r="I18" i="17" s="1"/>
  <c r="J21" i="18"/>
  <c r="J14" i="18"/>
  <c r="J27" i="18"/>
  <c r="E14" i="17"/>
  <c r="F14" i="17" s="1"/>
  <c r="I14" i="17" s="1"/>
  <c r="C17" i="16"/>
  <c r="C22" i="16" s="1"/>
  <c r="J12" i="18"/>
  <c r="E11" i="17"/>
  <c r="F11" i="17" s="1"/>
  <c r="I11" i="17" s="1"/>
  <c r="J39" i="1"/>
  <c r="J42" i="1" s="1"/>
  <c r="G279" i="12"/>
  <c r="J40" i="1"/>
  <c r="H42" i="1"/>
  <c r="I16" i="1"/>
  <c r="I21" i="1" s="1"/>
  <c r="G25" i="1" s="1"/>
  <c r="I73" i="1"/>
  <c r="F22" i="17" l="1"/>
  <c r="J46" i="18"/>
  <c r="I14" i="16"/>
  <c r="I15" i="16"/>
  <c r="G26" i="1"/>
  <c r="G29" i="1" s="1"/>
  <c r="I22" i="16" l="1"/>
  <c r="C28" i="16" s="1"/>
  <c r="I28" i="16" l="1"/>
  <c r="F25" i="15" s="1"/>
  <c r="F28" i="16"/>
  <c r="I29" i="16"/>
  <c r="F28" i="15"/>
  <c r="F26" i="15"/>
  <c r="F29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C11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 xr:uid="{00000000-0006-0000-03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00000000-0006-0000-03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B13" authorId="0" shapeId="0" xr:uid="{00000000-0006-0000-03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C13" authorId="0" shapeId="0" xr:uid="{00000000-0006-0000-03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4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4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4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4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<sst xmlns="http://schemas.openxmlformats.org/spreadsheetml/2006/main" count="1812" uniqueCount="684">
  <si>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</si>
  <si>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</si>
  <si>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</si>
  <si>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</si>
  <si>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</si>
  <si>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</si>
  <si>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</si>
  <si>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</si>
  <si>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</si>
  <si>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</si>
  <si>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</si>
  <si>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</si>
  <si>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</si>
  <si>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</si>
  <si>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</si>
  <si>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</si>
  <si>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</si>
  <si>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</si>
  <si>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</si>
  <si>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</si>
  <si>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</si>
  <si>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</si>
  <si>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</si>
  <si>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</si>
  <si>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</si>
  <si>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</si>
  <si>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</si>
  <si>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</si>
  <si>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</si>
  <si>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</si>
  <si>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</si>
  <si>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</si>
  <si>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</si>
  <si>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</si>
  <si>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</si>
  <si>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</si>
  <si>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</si>
  <si>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</si>
  <si>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</si>
  <si>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01.</t>
  </si>
  <si>
    <t xml:space="preserve">Stavební práce </t>
  </si>
  <si>
    <t>01</t>
  </si>
  <si>
    <t>Objekt:</t>
  </si>
  <si>
    <t>Rozpočet:</t>
  </si>
  <si>
    <t>N18-SAL-100</t>
  </si>
  <si>
    <t xml:space="preserve">Výměna podlahy v kuchyni 2. ZŠ J. A. Komenského, Milevsko </t>
  </si>
  <si>
    <t>Město Milevsko</t>
  </si>
  <si>
    <t>nám. E. Beneše 420</t>
  </si>
  <si>
    <t>Milevsko</t>
  </si>
  <si>
    <t>39901</t>
  </si>
  <si>
    <t>00249831</t>
  </si>
  <si>
    <t>CZ00249831</t>
  </si>
  <si>
    <t>Vaniš Luboš, Ing.</t>
  </si>
  <si>
    <t>Jiráskova 836</t>
  </si>
  <si>
    <t>60078936</t>
  </si>
  <si>
    <t>CZ6510130011</t>
  </si>
  <si>
    <t>Libor Hejpetr</t>
  </si>
  <si>
    <t>Lčovice 52</t>
  </si>
  <si>
    <t>Čkyně</t>
  </si>
  <si>
    <t>38481</t>
  </si>
  <si>
    <t>03404005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</si>
  <si>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</si>
  <si>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</si>
  <si>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</si>
  <si>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</si>
  <si>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</si>
  <si>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</si>
  <si>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</si>
  <si>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</si>
  <si>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</si>
  <si>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</si>
  <si>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</si>
  <si>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</t>
  </si>
  <si>
    <t>Ostatní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</si>
  <si>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</si>
  <si>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</si>
  <si>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</si>
  <si>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</si>
  <si>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</si>
  <si>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</si>
  <si>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</si>
  <si>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</si>
  <si>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</si>
  <si>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</si>
  <si>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</si>
  <si>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</si>
  <si>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</si>
  <si>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</si>
  <si>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</si>
  <si>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</si>
  <si>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</si>
  <si>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</si>
  <si>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769</t>
  </si>
  <si>
    <t>Otvorové prvky z plastu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</si>
  <si>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</si>
  <si>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</si>
  <si>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</si>
  <si>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</si>
  <si>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</si>
  <si>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</si>
  <si>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</si>
  <si>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</si>
  <si>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</si>
  <si>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</si>
  <si>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7999</t>
  </si>
  <si>
    <t xml:space="preserve">Profese 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</si>
  <si>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</si>
  <si>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</si>
  <si>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</si>
  <si>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</si>
  <si>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</si>
  <si>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</si>
  <si>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</si>
  <si>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</si>
  <si>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</si>
  <si>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</si>
  <si>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</si>
  <si>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</si>
  <si>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</si>
  <si>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</si>
  <si>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</si>
  <si>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</si>
  <si>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</si>
  <si>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</si>
  <si>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</si>
  <si>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Ceník</t>
  </si>
  <si>
    <t>Cen. soustava</t>
  </si>
  <si>
    <t>Díl:</t>
  </si>
  <si>
    <t>DIL</t>
  </si>
  <si>
    <t>342255028R00</t>
  </si>
  <si>
    <t>Příčky z desek Ytong tl. 15 cm</t>
  </si>
  <si>
    <t>m2</t>
  </si>
  <si>
    <t>801-1</t>
  </si>
  <si>
    <t>RTS 18/ I</t>
  </si>
  <si>
    <t>POL1_</t>
  </si>
  <si>
    <t>varna : 1,2*(3,1+2,4)</t>
  </si>
  <si>
    <t>VV</t>
  </si>
  <si>
    <t>612481211RU1</t>
  </si>
  <si>
    <t>Montáž výztužné sítě(perlinky)do stěrky-vnit.stěny, včetně výztužné sítě a stěrkového tmelu Terranova</t>
  </si>
  <si>
    <t>varna - plochy : 1,2*((3,1+0,15+3,1+0,15)+(2,4+0,15+2,4+0,15))</t>
  </si>
  <si>
    <t>vyrovnání podkladu po odsekaném obkladu : 21,06</t>
  </si>
  <si>
    <t>631312621R00</t>
  </si>
  <si>
    <t>Mazanina betonová tl. 5 - 8 cm C 20/25</t>
  </si>
  <si>
    <t>m3</t>
  </si>
  <si>
    <t>doplnění mazanin : 201,15*0,055</t>
  </si>
  <si>
    <t>631317105R00</t>
  </si>
  <si>
    <t>m</t>
  </si>
  <si>
    <t>DILATAČNÍ SPÁRY : 0,9</t>
  </si>
  <si>
    <t>varna : 7+1,4</t>
  </si>
  <si>
    <t>varna - výdej : 1,4</t>
  </si>
  <si>
    <t>chodba : 1,4</t>
  </si>
  <si>
    <t>chodba - umývárna : 0,9</t>
  </si>
  <si>
    <t>chodba - výdej : 1,4</t>
  </si>
  <si>
    <t>chodba - přípravna zeleniny : 2,7</t>
  </si>
  <si>
    <t>umývárna - výdej : 3,2</t>
  </si>
  <si>
    <t>výdejna : 2,8</t>
  </si>
  <si>
    <t xml:space="preserve">PROŘEZÁVANÁ KOTEVNÍ DRÁŽKA STĚRKY : </t>
  </si>
  <si>
    <t xml:space="preserve">PO OBVODU MÍSTNOSTÍ : </t>
  </si>
  <si>
    <t>umývárna černého nádobí : 2,9+7,1+2,9+7,1</t>
  </si>
  <si>
    <t>varna : (8,9+7,1+8,9+7,1)-1,4</t>
  </si>
  <si>
    <t>chodba : 0,7+3,5+0,75+0,5+2,5+3,9+5,5+3,5+4,5+4,2</t>
  </si>
  <si>
    <t>přípravna masa : 3,25+3,05+3,25+3,05</t>
  </si>
  <si>
    <t>přípravna zeleniny : 3,2+2,8+3,2</t>
  </si>
  <si>
    <t>umývárna nádobí : 4,45+3,2+4,45</t>
  </si>
  <si>
    <t>chodba : (17,7+2,8+17,7+2,8)-3,2</t>
  </si>
  <si>
    <t xml:space="preserve">PODÉL NEREZOVÝCH ŽLABŮ : </t>
  </si>
  <si>
    <t>varna : (0,8+0,4+0,8)+(0,8+0,4+0,8)+(0,3+3+0,3)+(0,3+2,1+0,9+0,4+0,9+0,5+0,3)+(4*0,45)</t>
  </si>
  <si>
    <t>umývárna černého nádobí : 4*0,45</t>
  </si>
  <si>
    <t>přípravna masa : 4*0,45</t>
  </si>
  <si>
    <t>chodba : 4*0,45</t>
  </si>
  <si>
    <t>umývárna nádobí : 0,4+1,5+0,4+1,5</t>
  </si>
  <si>
    <t>výdejna jídel : 2*(4*0,45)</t>
  </si>
  <si>
    <t>631319161R00</t>
  </si>
  <si>
    <t>Příplatek za konečnou úpravu mazanin tl. 8 cm</t>
  </si>
  <si>
    <t>631362021R00</t>
  </si>
  <si>
    <t>Výztuž mazanin svařovanou sítí z drátů Kari</t>
  </si>
  <si>
    <t>t</t>
  </si>
  <si>
    <t>vložená výztuž v místě nových varných bloků : 2*(3,5*3,5)*3,03/1000*1,15</t>
  </si>
  <si>
    <t>631001001</t>
  </si>
  <si>
    <t xml:space="preserve">Příplatek za vodotěsnou přísadu do betonové mazaniny </t>
  </si>
  <si>
    <t>Vlastní</t>
  </si>
  <si>
    <t>999001001</t>
  </si>
  <si>
    <t>kpl</t>
  </si>
  <si>
    <t>999001002</t>
  </si>
  <si>
    <t>Montáž nerezových žlabů</t>
  </si>
  <si>
    <t>ks</t>
  </si>
  <si>
    <t>952901111R00</t>
  </si>
  <si>
    <t>Vyčištění budov o výšce podlaží do 4 m</t>
  </si>
  <si>
    <t>umývárna černého nádobí : 20</t>
  </si>
  <si>
    <t>varna : 61,3</t>
  </si>
  <si>
    <t>chodba : 36,8</t>
  </si>
  <si>
    <t>přípravna masa : 9,9</t>
  </si>
  <si>
    <t>přípravna zeleniny : 8,7</t>
  </si>
  <si>
    <t>umývárna nádobí : 14,25</t>
  </si>
  <si>
    <t>příjem nádobí : 50,2</t>
  </si>
  <si>
    <t>953981101R00</t>
  </si>
  <si>
    <t>Chemické kotvy do betonu, hl. 80 mm, M 8, ampule</t>
  </si>
  <si>
    <t>kus</t>
  </si>
  <si>
    <t>801-4</t>
  </si>
  <si>
    <t>kotvení objímek kanalizace : 122</t>
  </si>
  <si>
    <t>965042131R00</t>
  </si>
  <si>
    <t>Bourání mazanin betonových  tl. 10 cm, pl. 4 m2</t>
  </si>
  <si>
    <t>801-3</t>
  </si>
  <si>
    <t>výměra plochy víz. bourání dlažby : 201,15*0,06</t>
  </si>
  <si>
    <t>v místě žlabů : 0,5</t>
  </si>
  <si>
    <t>965081712RT1</t>
  </si>
  <si>
    <t>Bourání dlažeb keramických tl.10 mm, pl. do 1 m2, ručně, dlaždice keramické</t>
  </si>
  <si>
    <t>varna : 61,30</t>
  </si>
  <si>
    <t>příprava masa : 9,9</t>
  </si>
  <si>
    <t>příprava zeleniny : 8,7</t>
  </si>
  <si>
    <t>příjem nádobí - výdejna jídel : 50,2</t>
  </si>
  <si>
    <t>970041130R00</t>
  </si>
  <si>
    <t>Vrtání jádrové do prostého betonu do D 130 mm</t>
  </si>
  <si>
    <t>prostupy stoupaček kanalizace : 4*0,3</t>
  </si>
  <si>
    <t>obnova původních prostupů - případné osové posunutí : 10*0,3</t>
  </si>
  <si>
    <t>974031133R00</t>
  </si>
  <si>
    <t>Vysekání rýh ve zdi cihelné 5 x 10 cm</t>
  </si>
  <si>
    <t>přípomoc pro kanalizaci : 10</t>
  </si>
  <si>
    <t>978059511R00</t>
  </si>
  <si>
    <t>Odsekání vnitřních obkladů stěn do 1 m2</t>
  </si>
  <si>
    <t>přípravna masa : 1,8*(3,05+3,25+3,05+3,25)-(1,8*0,9)</t>
  </si>
  <si>
    <t>999281105R00</t>
  </si>
  <si>
    <t>Přesun hmot pro opravy a údržbu do výšky 6 m</t>
  </si>
  <si>
    <t>POL7_</t>
  </si>
  <si>
    <t>711212000RU1</t>
  </si>
  <si>
    <t>Penetrace podkladu pod hydroizolační nátěr,vč.dod., Primer G (fa Mapei)</t>
  </si>
  <si>
    <t>800-711</t>
  </si>
  <si>
    <t>711212002RT3</t>
  </si>
  <si>
    <t>Hydroizolační povlak - nátěr nebo stěrka, Mapelastic (fa Mapei), pružná hydroizolace tl. 2mm</t>
  </si>
  <si>
    <t>varna - horní plocha : 0,15*(3,1+2,4)</t>
  </si>
  <si>
    <t>711212601R00</t>
  </si>
  <si>
    <t>Těsnicí pás do spoje podlaha - stěna</t>
  </si>
  <si>
    <t>varna - plochy : ((3,1+0,15+3,1+0,15)+(2,4+0,15+2,4+0,15))</t>
  </si>
  <si>
    <t>711212602R00</t>
  </si>
  <si>
    <t>Těsnicí roh vnější, vnitřní do spoje podlaha-stěna</t>
  </si>
  <si>
    <t>998711201R00</t>
  </si>
  <si>
    <t>Přesun hmot pro izolace proti vodě, výšky do 6 m</t>
  </si>
  <si>
    <t>721140802R00</t>
  </si>
  <si>
    <t>Demontáž potrubí litinového DN 100</t>
  </si>
  <si>
    <t>800-721</t>
  </si>
  <si>
    <t>stávající rozvody : 57</t>
  </si>
  <si>
    <t>721176102R00</t>
  </si>
  <si>
    <t>Potrubí HT připojovací D 40 x 1,8 mm</t>
  </si>
  <si>
    <t>721176103R00</t>
  </si>
  <si>
    <t>Potrubí HT připojovací D 50 x 1,8 mm</t>
  </si>
  <si>
    <t>721176135R00</t>
  </si>
  <si>
    <t>Potrubí HT svodné (ležaté) zavěšené D 110 x 2,7 mm</t>
  </si>
  <si>
    <t>721154235R00</t>
  </si>
  <si>
    <t>Kus čisticí ovál. víko, potr. ležaté D 110</t>
  </si>
  <si>
    <t>721001001</t>
  </si>
  <si>
    <t xml:space="preserve">Napojení na stávající kanalizaci </t>
  </si>
  <si>
    <t>721001002</t>
  </si>
  <si>
    <t xml:space="preserve">Zpětné napojení varných zařízení na kanalizaci </t>
  </si>
  <si>
    <t>28615295.AR</t>
  </si>
  <si>
    <t>Koleno HTB D 110 mm 15° PP</t>
  </si>
  <si>
    <t>SPCM</t>
  </si>
  <si>
    <t>POL3_</t>
  </si>
  <si>
    <t>28615296.AR</t>
  </si>
  <si>
    <t>Koleno HTB D 110 mm 30° PP</t>
  </si>
  <si>
    <t>28615297.AR</t>
  </si>
  <si>
    <t>Koleno HTB D 110 mm 45° PP</t>
  </si>
  <si>
    <t>28615370.AR</t>
  </si>
  <si>
    <t>Odbočka HTEA D 110/ 110 mm 45° PP</t>
  </si>
  <si>
    <t>28697331.AR</t>
  </si>
  <si>
    <t>Objímka rychloupínací Master 3 DN 70, 100</t>
  </si>
  <si>
    <t>spotřeba  á 0,5 m : 61/0,5</t>
  </si>
  <si>
    <t>31179106R</t>
  </si>
  <si>
    <t>Tyč závitová M10, DIN 975</t>
  </si>
  <si>
    <t>kotvení objímek kanalizace - dl.300 mm : 122*0,3</t>
  </si>
  <si>
    <t>998721201R00</t>
  </si>
  <si>
    <t>Přesun hmot pro vnitřní kanalizaci, výšky do 6 m</t>
  </si>
  <si>
    <t>722130802R00</t>
  </si>
  <si>
    <t>Demontáž potrubí ocelových závitových DN 40</t>
  </si>
  <si>
    <t>722172711R00</t>
  </si>
  <si>
    <t>Potrubí z PPR Ekoplastik, D 20 x 2,8 mm, PN 16</t>
  </si>
  <si>
    <t>722172712R00</t>
  </si>
  <si>
    <t>Potrubí z PPR Ekoplastik, D 25 x 3,5 mm, PN 16</t>
  </si>
  <si>
    <t>722172713R00</t>
  </si>
  <si>
    <t>Potrubí z PPR Ekoplastik, D 32 x 4,4 mm, PN 16</t>
  </si>
  <si>
    <t>722181211RZ6</t>
  </si>
  <si>
    <t>722181212RT8</t>
  </si>
  <si>
    <t>722181212RU1</t>
  </si>
  <si>
    <t>722181212RZ6</t>
  </si>
  <si>
    <t>722181214RT8</t>
  </si>
  <si>
    <t>722181214RU1</t>
  </si>
  <si>
    <t>722181214RZ6</t>
  </si>
  <si>
    <t>722280106R00</t>
  </si>
  <si>
    <t>Tlaková zkouška vodovodního potrubí DN 32</t>
  </si>
  <si>
    <t>722001001</t>
  </si>
  <si>
    <t xml:space="preserve">Přemístění výlevky </t>
  </si>
  <si>
    <t>725017132R00</t>
  </si>
  <si>
    <t>Umyvadlo na šrouby bílé</t>
  </si>
  <si>
    <t>soubor</t>
  </si>
  <si>
    <t>725319101R00</t>
  </si>
  <si>
    <t>Montáž dřezů jednoduchých</t>
  </si>
  <si>
    <t>725019101R00</t>
  </si>
  <si>
    <t>Výlevka stojící MIRA 5104.6 s plastovou mřížkou</t>
  </si>
  <si>
    <t>725860201RT1</t>
  </si>
  <si>
    <t xml:space="preserve">Sifon ke konvektomatu </t>
  </si>
  <si>
    <t>725860202R00</t>
  </si>
  <si>
    <t>Sifon dřezový HL100G, D 40, 50 mm, 6/4"</t>
  </si>
  <si>
    <t>725860213R00</t>
  </si>
  <si>
    <t>Sifon umyvadlový HL132, D 32, 40 mm</t>
  </si>
  <si>
    <t>55230700R</t>
  </si>
  <si>
    <t xml:space="preserve">Dřez nerez </t>
  </si>
  <si>
    <t>998725201R00</t>
  </si>
  <si>
    <t>Přesun hmot pro zařizovací předměty, výšky do 6 m</t>
  </si>
  <si>
    <t>735001001</t>
  </si>
  <si>
    <t>766001001</t>
  </si>
  <si>
    <t xml:space="preserve">Obklad stoupačky deskou HPL </t>
  </si>
  <si>
    <t>766001002</t>
  </si>
  <si>
    <t xml:space="preserve">Soklík s desky HPL </t>
  </si>
  <si>
    <t>766629304R00</t>
  </si>
  <si>
    <t>Montáž dveří plastových</t>
  </si>
  <si>
    <t>800-766</t>
  </si>
  <si>
    <t>dveře ozn. 01 - 1250 x 1970 mm : 1</t>
  </si>
  <si>
    <t>dveře ozn. 02 - 900 x 1970 mm : 1</t>
  </si>
  <si>
    <t>61143250R</t>
  </si>
  <si>
    <t>Dveře plastové 1křídlové 900 x 1970 cm</t>
  </si>
  <si>
    <t>61143260R</t>
  </si>
  <si>
    <t>Dveře plastové 2křídlové 1250 x 1970 mm</t>
  </si>
  <si>
    <t>771475014R00</t>
  </si>
  <si>
    <t>Obklad soklíků keram.rovných, tmel,výška 10 cm</t>
  </si>
  <si>
    <t>800-771</t>
  </si>
  <si>
    <t>771479001R00</t>
  </si>
  <si>
    <t>Řezání dlaždic keramických pro soklíky</t>
  </si>
  <si>
    <t>771577113R00</t>
  </si>
  <si>
    <t>Lišta hliníková přechodová, stejná výška podlah</t>
  </si>
  <si>
    <t>chodba - kancelář : 0,9</t>
  </si>
  <si>
    <t>chodba - chodba : 1,25</t>
  </si>
  <si>
    <t>7719101</t>
  </si>
  <si>
    <t>998771201R00</t>
  </si>
  <si>
    <t>Přesun hmot pro podlahy z dlaždic, výšky do 6 m</t>
  </si>
  <si>
    <t>771578011R00</t>
  </si>
  <si>
    <t xml:space="preserve">Spára podlaha - stěna -  systémové provedení na silikon-kaučukové bázi </t>
  </si>
  <si>
    <t>varna - příčky : ((3,1+0,15+3,1+0,15)+(2,4+0,15+2,4+0,15))</t>
  </si>
  <si>
    <t/>
  </si>
  <si>
    <t>777001001</t>
  </si>
  <si>
    <t xml:space="preserve">Polyuretanová jednovrstvá protiskluzná stěrka tl. 6 mm - provedení dle technologického předpisu </t>
  </si>
  <si>
    <t>777001002</t>
  </si>
  <si>
    <t xml:space="preserve">Polyuretanová jednovrstvá protiskluzná stěrka tl. 9 mm - provedení dle technologického předpisu </t>
  </si>
  <si>
    <t>777001003</t>
  </si>
  <si>
    <t xml:space="preserve">Ukončovací profil "Z" ukotven do stěny </t>
  </si>
  <si>
    <t>přípravna masa : (3,05+3,25+3,05+3,25)</t>
  </si>
  <si>
    <t>777001004</t>
  </si>
  <si>
    <t>Fabion R=50 mm</t>
  </si>
  <si>
    <t>998777201R00</t>
  </si>
  <si>
    <t>Přesun hmot pro podlahy syntetické, výšky do 6 m</t>
  </si>
  <si>
    <t>800-773</t>
  </si>
  <si>
    <t>781101210R00</t>
  </si>
  <si>
    <t>Penetrace podkladu pod obklady</t>
  </si>
  <si>
    <t>781411904R00</t>
  </si>
  <si>
    <t>Oprava obkladů z obkladaček porovin. 200x100</t>
  </si>
  <si>
    <t>přemístění výlevky : 10</t>
  </si>
  <si>
    <t>ostatní : 80</t>
  </si>
  <si>
    <t>781475114R00</t>
  </si>
  <si>
    <t>Obklad vnitřní stěn keramický, do tmele, 20x20 cm</t>
  </si>
  <si>
    <t>781497121R00</t>
  </si>
  <si>
    <t xml:space="preserve">Lišta hliníková rohová k obkladům </t>
  </si>
  <si>
    <t>varna - rohy : (8*1,2)</t>
  </si>
  <si>
    <t>varna horní plocha : (0,15+3,1+0,5+3,1)+(0,15+2,4+0,15+2,4)</t>
  </si>
  <si>
    <t>23596041R</t>
  </si>
  <si>
    <t>Nátěr penetrační základní-koncentrát balení 12 kg</t>
  </si>
  <si>
    <t>kg</t>
  </si>
  <si>
    <t>spotřeba 0,1 kg/m2 : 14,745*0,1</t>
  </si>
  <si>
    <t>78191001</t>
  </si>
  <si>
    <t>Obklad keramický dle výběru investora - cenová úroveň 300,- Kč/m2</t>
  </si>
  <si>
    <t>998781201R00</t>
  </si>
  <si>
    <t>Přesun hmot pro obklady keramické, výšky do 6 m</t>
  </si>
  <si>
    <t>783225100R00</t>
  </si>
  <si>
    <t>Nátěr syntetický kovových konstrukcí 2x + 1x email</t>
  </si>
  <si>
    <t>800-783</t>
  </si>
  <si>
    <t>dveře ozn. 01 - 1250 x 1970 mm : 0,3*(1,97+1,25+1,97)</t>
  </si>
  <si>
    <t>dveře ozn. 02 - 900 x 1970 mm : 0,3*(1,97+0,9+1,97)</t>
  </si>
  <si>
    <t>783991001</t>
  </si>
  <si>
    <t xml:space="preserve">Voděodolný nátěr </t>
  </si>
  <si>
    <t>umývárna černého nádobí : 0,75*2,9</t>
  </si>
  <si>
    <t>varna : 0,75*8,9</t>
  </si>
  <si>
    <t>přípravna masa : 0,75*3,3</t>
  </si>
  <si>
    <t>přípravna zeleniny : 0,75*2,75</t>
  </si>
  <si>
    <t>chodba : 2*0,75*2,8</t>
  </si>
  <si>
    <t>784191101R00</t>
  </si>
  <si>
    <t>Penetrace podkladu univerzální Primalex 1x</t>
  </si>
  <si>
    <t>800-784</t>
  </si>
  <si>
    <t>784195212R00</t>
  </si>
  <si>
    <t>Malba Primalex Plus, bílá, bez penetrace, 2 x</t>
  </si>
  <si>
    <t>799001001</t>
  </si>
  <si>
    <t>799001002</t>
  </si>
  <si>
    <t>799001003</t>
  </si>
  <si>
    <t>799001004</t>
  </si>
  <si>
    <t>799001005</t>
  </si>
  <si>
    <t>799001006</t>
  </si>
  <si>
    <t>799001007</t>
  </si>
  <si>
    <t>210010062RT1</t>
  </si>
  <si>
    <t>Trubka ocelová závitová uložená pevně, 16 mm, včetně dodávky trubky 6016 + kolena 6116</t>
  </si>
  <si>
    <t>210010063RT2</t>
  </si>
  <si>
    <t>Trubka ocelová závitová uložená pevně, 21 mm, včetně dodávky trubky 6021 + kolena 6121</t>
  </si>
  <si>
    <t>210010323R00</t>
  </si>
  <si>
    <t>Krabice odbočná KO, se zapojením, čtvercová</t>
  </si>
  <si>
    <t>210011001R00</t>
  </si>
  <si>
    <t>Trubka ocelová typ  6013 včetně vývodek</t>
  </si>
  <si>
    <t>210110006R00</t>
  </si>
  <si>
    <t>Spínač nástěnný trojpól.45A</t>
  </si>
  <si>
    <t>210110007R00</t>
  </si>
  <si>
    <t>Spínač nástěnný trojpól.75A</t>
  </si>
  <si>
    <t>210110026R00</t>
  </si>
  <si>
    <t>Spínač nástěnný trojpól.16A</t>
  </si>
  <si>
    <t>210111062R00</t>
  </si>
  <si>
    <t>Zásuvka domovní nástěnná 16A,380V 3P+N+PE</t>
  </si>
  <si>
    <t>210111071R00</t>
  </si>
  <si>
    <t>Zásuvka domovní spojovací 16A,250V 2P+PE</t>
  </si>
  <si>
    <t>210800003R00</t>
  </si>
  <si>
    <t>Vodič CS 4 mm2 uložený pod omítkou</t>
  </si>
  <si>
    <t>přesná výměra bude určena při realizaci : 10</t>
  </si>
  <si>
    <t>210800004R00</t>
  </si>
  <si>
    <t>Vodič CS 6 mm2 uložený pod omítkou</t>
  </si>
  <si>
    <t>210800005R00</t>
  </si>
  <si>
    <t>Vodič CYY 10 mm2 uložený pod omítkou</t>
  </si>
  <si>
    <t>210800006R00</t>
  </si>
  <si>
    <t>Vodič CYY 16 mm2 uložený pod omítkou</t>
  </si>
  <si>
    <t>210810006RT1</t>
  </si>
  <si>
    <t>Kabel CYKY-m 750 V 3 x 2,5 mm2 volně uložený, včetně dodávky kabelu</t>
  </si>
  <si>
    <t>210810017RT1</t>
  </si>
  <si>
    <t>Kabel CYKY-m 750 V 5 žil,4 až 25 mm2,volně uložený, včetně dodávky kabelu 5x4 mm2</t>
  </si>
  <si>
    <t>210810017RT2</t>
  </si>
  <si>
    <t>Kabel CYKY-m 750 V 5 žil,4 až 25 mm2,volně uložený, včetně dodávky kabelu 5x6 mm2</t>
  </si>
  <si>
    <t>210810017RT4</t>
  </si>
  <si>
    <t>Kabel CYKY-m 750 V 5 žil,4 až 25 mm2,volně uložený, včetně dodávky kabelu 5x16 mm2</t>
  </si>
  <si>
    <t>210810057RT3</t>
  </si>
  <si>
    <t>Kabel CYKY-m 750 V 5 žil 4 až 16 mm pevně uložený, včetně dodávky kabelu 5x10 mm2</t>
  </si>
  <si>
    <t>210901078RT1</t>
  </si>
  <si>
    <t>Kabel silový AYKY 1kV 3x240+120 mm2 volně uložený, včetně dodávky kabelu AYKY 4b3x240+120</t>
  </si>
  <si>
    <t>210800118LH1</t>
  </si>
  <si>
    <t>Kabel H07RN-F uložený pod omítkou, včetně dodávky kabelu 5x16 mm2</t>
  </si>
  <si>
    <t>210800118LH2</t>
  </si>
  <si>
    <t>Kabel H07RN-F uložený pod omítkou, včetně dodávky kabelu 5x10 mm2</t>
  </si>
  <si>
    <t>210800118LH3</t>
  </si>
  <si>
    <t>Kabel H07RN-F uložený pod omítkou, včetně dodávky kabelu 5x6 mm2</t>
  </si>
  <si>
    <t>210800118LH4</t>
  </si>
  <si>
    <t>Kabel H07RN-F uložený pod omítku , včetně dodávky kabelu 5x4 mm2</t>
  </si>
  <si>
    <t>210800118LH5</t>
  </si>
  <si>
    <t>Kabel H07RN-F uložený pod omítkou, včetně dodávky kabelu 5x2,5 mm2</t>
  </si>
  <si>
    <t>M21001001</t>
  </si>
  <si>
    <t>Úprava a doplnění hlavního rozvaděče - HR</t>
  </si>
  <si>
    <t>M21001002</t>
  </si>
  <si>
    <t xml:space="preserve">Rozvaděč skříňový značený RK - viz výkres </t>
  </si>
  <si>
    <t>34140967R</t>
  </si>
  <si>
    <t>Vodič silový CY zelenožlutý 10,00 mm2 - drát</t>
  </si>
  <si>
    <t>34140968R</t>
  </si>
  <si>
    <t>Vodič silový CY zelenožlutý 16,00 mm2 - drát</t>
  </si>
  <si>
    <t>34142314R</t>
  </si>
  <si>
    <t>Kabel CS 4,00mm2 ŽZ</t>
  </si>
  <si>
    <t>34142315R</t>
  </si>
  <si>
    <t>Kabel CS 6,00mm2 ŽZ</t>
  </si>
  <si>
    <t>34536220R</t>
  </si>
  <si>
    <t>Spínač třípolový - BW325 W/TPN-16A</t>
  </si>
  <si>
    <t>34536350R</t>
  </si>
  <si>
    <t>Spínač třípolový KSE 363 TPN-45A</t>
  </si>
  <si>
    <t>34536462R</t>
  </si>
  <si>
    <t>Spínač 3pólový nástěnný - KSE 380 TPN 75A</t>
  </si>
  <si>
    <t>345700610000R</t>
  </si>
  <si>
    <t>Trubka ocelová závitová 6013 N</t>
  </si>
  <si>
    <t>345714251R</t>
  </si>
  <si>
    <t>Krabice elektroinstalační plastová 8102</t>
  </si>
  <si>
    <t>358112503R</t>
  </si>
  <si>
    <t xml:space="preserve">Zásuvka nástěnná IZN 1653 16A 400V </t>
  </si>
  <si>
    <t>35811258R</t>
  </si>
  <si>
    <t>Zásuvka nástěnná IZS 3232 16A 220V horní přívod</t>
  </si>
  <si>
    <t>220263122R00</t>
  </si>
  <si>
    <t>Kabel.žlab s integr.spojkou KZI 60x60 mm - vč. spojek, podpěr</t>
  </si>
  <si>
    <t>220263123R00</t>
  </si>
  <si>
    <t xml:space="preserve">Kabel.žlab s integr.spojkou KZI 60x100 mm - vč. spojek, podpěr </t>
  </si>
  <si>
    <t>220263125R00</t>
  </si>
  <si>
    <t xml:space="preserve">Kabel.žlab s integr.spojkou KZI 60x200 mm - vč. spojek, podpěr </t>
  </si>
  <si>
    <t>799001008</t>
  </si>
  <si>
    <t xml:space="preserve">Zpětná montáž zařízení kuchyně a zařizovacích předmětů dle nové dispozice + zprovoznění </t>
  </si>
  <si>
    <t>979094211R00</t>
  </si>
  <si>
    <t>Nakládání nebo překládání vybourané suti</t>
  </si>
  <si>
    <t>824-1</t>
  </si>
  <si>
    <t>POL8_</t>
  </si>
  <si>
    <t>979082111R00</t>
  </si>
  <si>
    <t>Vnitrostaveništní doprava suti do 10 m</t>
  </si>
  <si>
    <t>979083117R00</t>
  </si>
  <si>
    <t>Vodorovné přemístění suti na skládku do 6000 m</t>
  </si>
  <si>
    <t>800-6</t>
  </si>
  <si>
    <t>979990001R00</t>
  </si>
  <si>
    <t>Poplatek za skládku stavební suti</t>
  </si>
  <si>
    <t>979093111R00</t>
  </si>
  <si>
    <t>Uložení suti na skládku bez zhutnění</t>
  </si>
  <si>
    <t>005121 R</t>
  </si>
  <si>
    <t>Zařízení staveniště</t>
  </si>
  <si>
    <t>800-0</t>
  </si>
  <si>
    <t>POL99_2</t>
  </si>
  <si>
    <t>SUM</t>
  </si>
  <si>
    <t>Poznámky uchazeče k zadání</t>
  </si>
  <si>
    <t>POPUZIV</t>
  </si>
  <si>
    <t>END</t>
  </si>
  <si>
    <t>Izolace návleková MIRELON PRO tl. stěny 6 mm, 
vnitřní průměr 20 mm</t>
  </si>
  <si>
    <t>Izolace návleková MIRELON PRO tl. stěny 9 mm, 
vnitřní průměr 25 mm</t>
  </si>
  <si>
    <t>Izolace návleková MIRELON PRO tl. stěny 9 mm, 
vnitřní průměr 32 mm</t>
  </si>
  <si>
    <t>Izolace návleková MIRELON PRO tl. stěny 9 mm, 
vnitřní průměr 20 mm</t>
  </si>
  <si>
    <t>Izolace návleková MIRELON PRO tl. stěny 20 mm, 
vnitřní průměr 25 mm</t>
  </si>
  <si>
    <t>Izolace návleková MIRELON PRO tl. stěny 20 mm, 
vnitřní průměr 32 mm</t>
  </si>
  <si>
    <t>Izolace návleková MIRELON PRO tl. stěny 20 mm, 
vnitřní průměr 20 mm</t>
  </si>
  <si>
    <t>Dlažba keramická dle výběru investora
 - cenová úroveň 300,- Kč/m2</t>
  </si>
  <si>
    <t xml:space="preserve">Odpojení a uzavření rozvodů elektro 
- provedení dle rozsahu PD </t>
  </si>
  <si>
    <t xml:space="preserve">Odpojení a uzavření rozvodů odvětrání 
- provedení dle rozsahu PD </t>
  </si>
  <si>
    <t xml:space="preserve">Odpojení a uzavření rozvodů vody 
- provedení dle rozsahu PD </t>
  </si>
  <si>
    <t xml:space="preserve">Odpojení a uzavření rozvodů kanalizace 
- provedení dle rozsahu PD </t>
  </si>
  <si>
    <t xml:space="preserve">Uzavření  a vypuštění stoupaček vytápění ( pro demontáž radiátorů) - rozsah dle PD </t>
  </si>
  <si>
    <t xml:space="preserve">Napuštění vody do otopného systému, odvzdušnění, zprovoznění </t>
  </si>
  <si>
    <t>Hygienické nerezové žlaby - dodávka dle samostatné nabídky ACO Stavební prvky spol. s r.o.</t>
  </si>
  <si>
    <t xml:space="preserve">Demontáž zařízení kuchyně a zařizovacích předmětů - uložení na určené místo, opětovná montáž </t>
  </si>
  <si>
    <t>Stavební rozpočet</t>
  </si>
  <si>
    <t>Název stavby:</t>
  </si>
  <si>
    <t>2. ZŠ Milevsko vstup</t>
  </si>
  <si>
    <t>Doba výstavby:</t>
  </si>
  <si>
    <t xml:space="preserve"> </t>
  </si>
  <si>
    <t>Druh stavby:</t>
  </si>
  <si>
    <t>Rekonstrukce</t>
  </si>
  <si>
    <t>Začátek výstavby:</t>
  </si>
  <si>
    <t>04.04.2019</t>
  </si>
  <si>
    <t>Lokalita:</t>
  </si>
  <si>
    <t>Konec výstavby: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</si>
  <si>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</si>
  <si>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</si>
  <si>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</si>
  <si>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</si>
  <si>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</si>
  <si>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</si>
  <si>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</si>
  <si>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</si>
  <si>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</si>
  <si>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</t>
  </si>
  <si>
    <t>Náklady (Kč)</t>
  </si>
  <si>
    <t>Hmotnost (t)</t>
  </si>
  <si>
    <t>Cenová</t>
  </si>
  <si>
    <t>Rozměry</t>
  </si>
  <si>
    <t>cena (Kč)</t>
  </si>
  <si>
    <t>Dodávka</t>
  </si>
  <si>
    <t>Montáž</t>
  </si>
  <si>
    <t>soustava</t>
  </si>
  <si>
    <t>1</t>
  </si>
  <si>
    <t>RTS II / 2017</t>
  </si>
  <si>
    <t>Podlahy z dlaždic</t>
  </si>
  <si>
    <t>2</t>
  </si>
  <si>
    <t>4</t>
  </si>
  <si>
    <t>771577113RS2</t>
  </si>
  <si>
    <t>Lišta hliníková přechodová, stejná výška dlaždic</t>
  </si>
  <si>
    <t>5</t>
  </si>
  <si>
    <t>771101111R00</t>
  </si>
  <si>
    <t>Vyrovnání podkladů maltou ze SMS tl. do 10 mm</t>
  </si>
  <si>
    <t>6</t>
  </si>
  <si>
    <t>771101121R00</t>
  </si>
  <si>
    <t>Provedení penetrace podkladu</t>
  </si>
  <si>
    <t>7</t>
  </si>
  <si>
    <t>771575109RT1</t>
  </si>
  <si>
    <t>Montáž podlah keram.,hladké, tmel, 30x30 cm</t>
  </si>
  <si>
    <t>8</t>
  </si>
  <si>
    <t>10</t>
  </si>
  <si>
    <t>784402801R00</t>
  </si>
  <si>
    <t>Odstranění malby oškrábáním v místnosti H do 3,8 m</t>
  </si>
  <si>
    <t>11</t>
  </si>
  <si>
    <t>784114112R00</t>
  </si>
  <si>
    <t>Malba latexová V 2064, bílá, bez penetrace, 2 x</t>
  </si>
  <si>
    <t>12</t>
  </si>
  <si>
    <t>784111301R00</t>
  </si>
  <si>
    <t>Penetrace podkladu nátěrem Teluria, Latex V2064 1x</t>
  </si>
  <si>
    <t>Různé dokončovací konstrukce a práce na pozemních stavbách</t>
  </si>
  <si>
    <t>13</t>
  </si>
  <si>
    <t>14</t>
  </si>
  <si>
    <t>965042131RT1</t>
  </si>
  <si>
    <t>15</t>
  </si>
  <si>
    <t>Bourání dlažeb keramických tl.10 mm, pl. do 1 m2</t>
  </si>
  <si>
    <t>H771</t>
  </si>
  <si>
    <t>16</t>
  </si>
  <si>
    <t>H99</t>
  </si>
  <si>
    <t>Ostatní přesuny hmot</t>
  </si>
  <si>
    <t>17</t>
  </si>
  <si>
    <t>S</t>
  </si>
  <si>
    <t>Přesuny sutí</t>
  </si>
  <si>
    <t>18</t>
  </si>
  <si>
    <t>19</t>
  </si>
  <si>
    <t>20</t>
  </si>
  <si>
    <t>21</t>
  </si>
  <si>
    <t>979083111R00</t>
  </si>
  <si>
    <t>Vodorovné přemístění suti na skládku do 100 m</t>
  </si>
  <si>
    <t>100VD</t>
  </si>
  <si>
    <t>Ostatní materiál a práce</t>
  </si>
  <si>
    <t>22</t>
  </si>
  <si>
    <t>100000VD</t>
  </si>
  <si>
    <t>Dlažba dle výběru investora</t>
  </si>
  <si>
    <t>23</t>
  </si>
  <si>
    <t>100045VD</t>
  </si>
  <si>
    <t>Poplatek za skládku</t>
  </si>
  <si>
    <t>Úprava povrchů vnitřní</t>
  </si>
  <si>
    <t>24</t>
  </si>
  <si>
    <t>612421331R00</t>
  </si>
  <si>
    <t>Oprava vápen.omítek stěn do 30 % pl. - štukových</t>
  </si>
  <si>
    <t>Celkem:</t>
  </si>
  <si>
    <t>Poznámka:</t>
  </si>
  <si>
    <t>IČ/DIČ: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</si>
  <si>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</si>
  <si>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</si>
  <si>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</si>
  <si>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</si>
  <si>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</si>
  <si>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</si>
  <si>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</si>
  <si>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</si>
  <si>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</si>
  <si>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Dodávky</t>
  </si>
  <si>
    <t>Práce přesčas</t>
  </si>
  <si>
    <t>Bez pevné podl.</t>
  </si>
  <si>
    <t>Mimostav. doprava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</si>
  <si>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</si>
  <si>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</si>
  <si>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</si>
  <si>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</si>
  <si>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</si>
  <si>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</si>
  <si>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</si>
  <si>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</si>
  <si>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</si>
  <si>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</si>
  <si>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</si>
  <si>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</si>
  <si>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</si>
  <si>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</si>
  <si>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</si>
  <si>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</si>
  <si>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</si>
  <si>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</si>
  <si>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</si>
  <si>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</si>
  <si>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</si>
  <si>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</si>
  <si>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</si>
  <si>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</si>
  <si>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</si>
  <si>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</si>
  <si>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</si>
  <si>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</si>
  <si>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</si>
  <si>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</si>
  <si>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</si>
  <si>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</si>
  <si>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</si>
  <si>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</si>
  <si>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</si>
  <si>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63_</t>
  </si>
  <si>
    <t>6_</t>
  </si>
  <si>
    <t>_</t>
  </si>
  <si>
    <t>771_</t>
  </si>
  <si>
    <t>77_</t>
  </si>
  <si>
    <t>784_</t>
  </si>
  <si>
    <t>78_</t>
  </si>
  <si>
    <t>95_</t>
  </si>
  <si>
    <t>9_</t>
  </si>
  <si>
    <t>96_</t>
  </si>
  <si>
    <t>H771_</t>
  </si>
  <si>
    <t>H99_</t>
  </si>
  <si>
    <t>S_</t>
  </si>
  <si>
    <t>100VD_</t>
  </si>
  <si>
    <t>1_</t>
  </si>
  <si>
    <t>61_</t>
  </si>
  <si>
    <t>Položkový rozpočet stavby - součtový</t>
  </si>
  <si>
    <t>přesná výměra bude určena při realizaci : 280</t>
  </si>
  <si>
    <t>přesná výměra bude určena při realizaci : 90</t>
  </si>
  <si>
    <t>přesná výměra bude určena při realizaci : 150</t>
  </si>
  <si>
    <t>přesná výměra bude určena při realizaci : 40</t>
  </si>
  <si>
    <t>přesná výměra bude určena při realizaci : 75</t>
  </si>
  <si>
    <t>110.2</t>
  </si>
  <si>
    <t>110.1</t>
  </si>
  <si>
    <t>Kabel CYKY-m 750 V 5 žil 4 až 25 mm volně uložený, včetně dodávky kabelu 5x2,5 mm2</t>
  </si>
  <si>
    <t>Stavební rozpočet - rekapitulace</t>
  </si>
  <si>
    <t>Náklady (Kč) - dodávka</t>
  </si>
  <si>
    <t>Náklady (Kč) - Montáž</t>
  </si>
  <si>
    <t>Náklady (Kč) - celkem</t>
  </si>
  <si>
    <t>Celková hmotnost (t)</t>
  </si>
  <si>
    <t>T</t>
  </si>
  <si>
    <t>Krycí list rozpočtu</t>
  </si>
  <si>
    <t>Demontáž radiátorů, nátěr, zpětná montáž (sou cca 10 ks)</t>
  </si>
  <si>
    <t>Řezání dilatační spáry hl. 0-50 mm, kotvících drážek, beton prostý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</si>
</sst>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sz val="1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i/>
      <sz val="8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19" xfId="0" applyNumberFormat="1" applyBorder="1"/>
    <xf numFmtId="3" fontId="5" fillId="0" borderId="19" xfId="0" applyNumberFormat="1" applyFont="1" applyBorder="1" applyAlignment="1"/>
    <xf numFmtId="3" fontId="5" fillId="0" borderId="20" xfId="0" applyNumberFormat="1" applyFont="1" applyBorder="1" applyAlignment="1"/>
    <xf numFmtId="3" fontId="0" fillId="2" borderId="21" xfId="0" applyNumberFormat="1" applyFill="1" applyBorder="1" applyAlignment="1"/>
    <xf numFmtId="3" fontId="7" fillId="4" borderId="22" xfId="0" applyNumberFormat="1" applyFont="1" applyFill="1" applyBorder="1" applyAlignment="1">
      <alignment vertical="center"/>
    </xf>
    <xf numFmtId="3" fontId="7" fillId="4" borderId="15" xfId="0" applyNumberFormat="1" applyFont="1" applyFill="1" applyBorder="1" applyAlignment="1">
      <alignment vertical="center"/>
    </xf>
    <xf numFmtId="3" fontId="7" fillId="4" borderId="15" xfId="0" applyNumberFormat="1" applyFont="1" applyFill="1" applyBorder="1" applyAlignment="1">
      <alignment vertical="center" wrapText="1"/>
    </xf>
    <xf numFmtId="3" fontId="7" fillId="4" borderId="23" xfId="0" applyNumberFormat="1" applyFont="1" applyFill="1" applyBorder="1" applyAlignment="1">
      <alignment horizontal="center" vertical="center" wrapText="1"/>
    </xf>
    <xf numFmtId="3" fontId="0" fillId="0" borderId="22" xfId="0" applyNumberFormat="1" applyBorder="1" applyAlignment="1"/>
    <xf numFmtId="3" fontId="0" fillId="0" borderId="23" xfId="0" applyNumberFormat="1" applyBorder="1" applyAlignment="1"/>
    <xf numFmtId="3" fontId="0" fillId="0" borderId="8" xfId="0" applyNumberFormat="1" applyBorder="1" applyAlignment="1">
      <alignment horizontal="left" indent="1"/>
    </xf>
    <xf numFmtId="3" fontId="0" fillId="0" borderId="2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3" xfId="0" applyNumberFormat="1" applyFont="1" applyFill="1" applyBorder="1" applyAlignment="1">
      <alignment horizontal="center" vertical="center" wrapText="1" shrinkToFit="1"/>
    </xf>
    <xf numFmtId="3" fontId="7" fillId="4" borderId="23" xfId="0" applyNumberFormat="1" applyFont="1" applyFill="1" applyBorder="1" applyAlignment="1">
      <alignment horizontal="center" vertical="center" wrapText="1" shrinkToFit="1"/>
    </xf>
    <xf numFmtId="3" fontId="3" fillId="0" borderId="23" xfId="0" applyNumberFormat="1" applyFont="1" applyBorder="1" applyAlignment="1">
      <alignment horizontal="right" wrapText="1" shrinkToFit="1"/>
    </xf>
    <xf numFmtId="3" fontId="3" fillId="0" borderId="23" xfId="0" applyNumberFormat="1" applyFont="1" applyBorder="1" applyAlignment="1">
      <alignment horizontal="right" shrinkToFit="1"/>
    </xf>
    <xf numFmtId="3" fontId="0" fillId="0" borderId="23" xfId="0" applyNumberFormat="1" applyBorder="1" applyAlignment="1">
      <alignment shrinkToFit="1"/>
    </xf>
    <xf numFmtId="3" fontId="5" fillId="0" borderId="20" xfId="0" applyNumberFormat="1" applyFont="1" applyBorder="1" applyAlignment="1">
      <alignment wrapText="1" shrinkToFit="1"/>
    </xf>
    <xf numFmtId="3" fontId="5" fillId="0" borderId="20" xfId="0" applyNumberFormat="1" applyFont="1" applyBorder="1" applyAlignment="1">
      <alignment shrinkToFit="1"/>
    </xf>
    <xf numFmtId="3" fontId="0" fillId="0" borderId="21" xfId="0" applyNumberFormat="1" applyBorder="1" applyAlignment="1">
      <alignment wrapText="1" shrinkToFit="1"/>
    </xf>
    <xf numFmtId="3" fontId="0" fillId="0" borderId="21" xfId="0" applyNumberFormat="1" applyBorder="1" applyAlignment="1">
      <alignment shrinkToFit="1"/>
    </xf>
    <xf numFmtId="3" fontId="0" fillId="2" borderId="21" xfId="0" applyNumberFormat="1" applyFill="1" applyBorder="1" applyAlignment="1">
      <alignment wrapText="1" shrinkToFit="1"/>
    </xf>
    <xf numFmtId="3" fontId="0" fillId="2" borderId="21" xfId="0" applyNumberFormat="1" applyFill="1" applyBorder="1" applyAlignment="1">
      <alignment shrinkToFit="1"/>
    </xf>
    <xf numFmtId="0" fontId="4" fillId="2" borderId="24" xfId="0" applyFont="1" applyFill="1" applyBorder="1" applyAlignment="1">
      <alignment horizontal="left" vertical="center" indent="1"/>
    </xf>
    <xf numFmtId="0" fontId="5" fillId="2" borderId="25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4" fontId="4" fillId="2" borderId="25" xfId="0" applyNumberFormat="1" applyFont="1" applyFill="1" applyBorder="1" applyAlignment="1">
      <alignment horizontal="left" vertical="center"/>
    </xf>
    <xf numFmtId="49" fontId="0" fillId="2" borderId="26" xfId="0" applyNumberFormat="1" applyFill="1" applyBorder="1" applyAlignment="1">
      <alignment horizontal="left" vertical="center"/>
    </xf>
    <xf numFmtId="0" fontId="0" fillId="2" borderId="25" xfId="0" applyFill="1" applyBorder="1"/>
    <xf numFmtId="49" fontId="8" fillId="2" borderId="26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/>
    </xf>
    <xf numFmtId="0" fontId="3" fillId="0" borderId="19" xfId="0" applyFont="1" applyBorder="1"/>
    <xf numFmtId="49" fontId="3" fillId="0" borderId="19" xfId="0" applyNumberFormat="1" applyFont="1" applyBorder="1" applyAlignment="1">
      <alignment vertical="center"/>
    </xf>
    <xf numFmtId="0" fontId="15" fillId="4" borderId="22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3" fillId="2" borderId="8" xfId="0" applyFont="1" applyFill="1" applyBorder="1"/>
    <xf numFmtId="0" fontId="3" fillId="2" borderId="6" xfId="0" applyFont="1" applyFill="1" applyBorder="1"/>
    <xf numFmtId="0" fontId="15" fillId="4" borderId="23" xfId="0" applyFont="1" applyFill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/>
    </xf>
    <xf numFmtId="4" fontId="3" fillId="2" borderId="21" xfId="0" applyNumberFormat="1" applyFont="1" applyFill="1" applyBorder="1" applyAlignment="1"/>
    <xf numFmtId="49" fontId="3" fillId="0" borderId="22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18" xfId="0" applyFont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4" borderId="22" xfId="0" applyFill="1" applyBorder="1"/>
    <xf numFmtId="0" fontId="16" fillId="0" borderId="0" xfId="0" applyFont="1"/>
    <xf numFmtId="0" fontId="16" fillId="0" borderId="19" xfId="0" applyFont="1" applyBorder="1" applyAlignment="1">
      <alignment vertical="top"/>
    </xf>
    <xf numFmtId="49" fontId="0" fillId="4" borderId="23" xfId="0" applyNumberFormat="1" applyFill="1" applyBorder="1"/>
    <xf numFmtId="0" fontId="0" fillId="4" borderId="23" xfId="0" applyFill="1" applyBorder="1" applyAlignment="1">
      <alignment horizontal="center"/>
    </xf>
    <xf numFmtId="0" fontId="0" fillId="4" borderId="23" xfId="0" applyFill="1" applyBorder="1"/>
    <xf numFmtId="0" fontId="0" fillId="4" borderId="23" xfId="0" applyFill="1" applyBorder="1" applyAlignment="1">
      <alignment wrapText="1"/>
    </xf>
    <xf numFmtId="0" fontId="0" fillId="2" borderId="12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horizontal="center" vertical="top"/>
    </xf>
    <xf numFmtId="0" fontId="16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6" fillId="0" borderId="28" xfId="0" applyFont="1" applyBorder="1" applyAlignment="1">
      <alignment horizontal="center" vertical="top" shrinkToFit="1"/>
    </xf>
    <xf numFmtId="0" fontId="17" fillId="0" borderId="28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18" xfId="0" applyNumberFormat="1" applyFill="1" applyBorder="1" applyAlignment="1">
      <alignment vertical="top"/>
    </xf>
    <xf numFmtId="164" fontId="16" fillId="0" borderId="20" xfId="0" applyNumberFormat="1" applyFont="1" applyBorder="1" applyAlignment="1">
      <alignment vertical="top" shrinkToFit="1"/>
    </xf>
    <xf numFmtId="164" fontId="17" fillId="0" borderId="20" xfId="0" applyNumberFormat="1" applyFont="1" applyBorder="1" applyAlignment="1">
      <alignment vertical="top" wrapText="1" shrinkToFit="1"/>
    </xf>
    <xf numFmtId="164" fontId="0" fillId="2" borderId="21" xfId="0" applyNumberFormat="1" applyFill="1" applyBorder="1" applyAlignment="1">
      <alignment vertical="top" shrinkToFit="1"/>
    </xf>
    <xf numFmtId="4" fontId="0" fillId="2" borderId="18" xfId="0" applyNumberFormat="1" applyFill="1" applyBorder="1" applyAlignment="1">
      <alignment vertical="top"/>
    </xf>
    <xf numFmtId="4" fontId="16" fillId="3" borderId="20" xfId="0" applyNumberFormat="1" applyFont="1" applyFill="1" applyBorder="1" applyAlignment="1" applyProtection="1">
      <alignment vertical="top" shrinkToFit="1"/>
      <protection locked="0"/>
    </xf>
    <xf numFmtId="4" fontId="16" fillId="0" borderId="20" xfId="0" applyNumberFormat="1" applyFont="1" applyBorder="1" applyAlignment="1">
      <alignment vertical="top" shrinkToFit="1"/>
    </xf>
    <xf numFmtId="4" fontId="0" fillId="2" borderId="21" xfId="0" applyNumberFormat="1" applyFill="1" applyBorder="1" applyAlignment="1">
      <alignment vertical="top" shrinkToFit="1"/>
    </xf>
    <xf numFmtId="0" fontId="16" fillId="0" borderId="8" xfId="0" applyFont="1" applyBorder="1" applyAlignment="1">
      <alignment vertical="top"/>
    </xf>
    <xf numFmtId="0" fontId="16" fillId="0" borderId="8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21" xfId="0" applyNumberFormat="1" applyFont="1" applyBorder="1" applyAlignment="1">
      <alignment vertical="top" shrinkToFit="1"/>
    </xf>
    <xf numFmtId="4" fontId="16" fillId="0" borderId="21" xfId="0" applyNumberFormat="1" applyFont="1" applyBorder="1" applyAlignment="1">
      <alignment vertical="top" shrinkToFit="1"/>
    </xf>
    <xf numFmtId="0" fontId="5" fillId="2" borderId="12" xfId="0" applyFont="1" applyFill="1" applyBorder="1" applyAlignment="1">
      <alignment vertical="top"/>
    </xf>
    <xf numFmtId="49" fontId="5" fillId="2" borderId="9" xfId="0" applyNumberFormat="1" applyFont="1" applyFill="1" applyBorder="1" applyAlignment="1">
      <alignment vertical="top"/>
    </xf>
    <xf numFmtId="0" fontId="5" fillId="2" borderId="9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vertical="top"/>
    </xf>
    <xf numFmtId="4" fontId="5" fillId="2" borderId="27" xfId="0" applyNumberFormat="1" applyFont="1" applyFill="1" applyBorder="1" applyAlignment="1">
      <alignment vertical="top"/>
    </xf>
    <xf numFmtId="0" fontId="16" fillId="0" borderId="20" xfId="0" applyNumberFormat="1" applyFont="1" applyBorder="1" applyAlignment="1">
      <alignment horizontal="left" vertical="top" wrapText="1"/>
    </xf>
    <xf numFmtId="0" fontId="17" fillId="0" borderId="20" xfId="0" quotePrefix="1" applyNumberFormat="1" applyFont="1" applyBorder="1" applyAlignment="1">
      <alignment horizontal="left" vertical="top" wrapText="1"/>
    </xf>
    <xf numFmtId="0" fontId="0" fillId="2" borderId="21" xfId="0" applyNumberFormat="1" applyFill="1" applyBorder="1" applyAlignment="1">
      <alignment horizontal="left" vertical="top" wrapText="1"/>
    </xf>
    <xf numFmtId="0" fontId="16" fillId="0" borderId="2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8" fillId="2" borderId="0" xfId="0" applyNumberFormat="1" applyFont="1" applyFill="1" applyBorder="1" applyAlignment="1">
      <alignment horizontal="left" vertical="center"/>
    </xf>
    <xf numFmtId="0" fontId="17" fillId="0" borderId="20" xfId="0" quotePrefix="1" applyNumberFormat="1" applyFont="1" applyBorder="1" applyAlignment="1">
      <alignment horizontal="left" vertical="top"/>
    </xf>
    <xf numFmtId="0" fontId="0" fillId="2" borderId="21" xfId="0" applyNumberFormat="1" applyFill="1" applyBorder="1" applyAlignment="1">
      <alignment horizontal="left" vertical="top"/>
    </xf>
    <xf numFmtId="0" fontId="16" fillId="0" borderId="20" xfId="0" applyNumberFormat="1" applyFont="1" applyBorder="1" applyAlignment="1">
      <alignment horizontal="left" vertical="top"/>
    </xf>
    <xf numFmtId="4" fontId="16" fillId="5" borderId="21" xfId="0" applyNumberFormat="1" applyFont="1" applyFill="1" applyBorder="1" applyAlignment="1" applyProtection="1">
      <alignment vertical="top" shrinkToFit="1"/>
      <protection locked="0"/>
    </xf>
    <xf numFmtId="49" fontId="21" fillId="0" borderId="36" xfId="0" applyNumberFormat="1" applyFont="1" applyFill="1" applyBorder="1" applyAlignment="1" applyProtection="1">
      <alignment horizontal="left" vertical="center"/>
    </xf>
    <xf numFmtId="49" fontId="21" fillId="0" borderId="37" xfId="0" applyNumberFormat="1" applyFont="1" applyFill="1" applyBorder="1" applyAlignment="1" applyProtection="1">
      <alignment horizontal="left" vertical="center"/>
    </xf>
    <xf numFmtId="49" fontId="21" fillId="0" borderId="37" xfId="0" applyNumberFormat="1" applyFont="1" applyFill="1" applyBorder="1" applyAlignment="1" applyProtection="1">
      <alignment horizontal="center" vertical="center"/>
    </xf>
    <xf numFmtId="49" fontId="21" fillId="0" borderId="38" xfId="0" applyNumberFormat="1" applyFont="1" applyFill="1" applyBorder="1" applyAlignment="1" applyProtection="1">
      <alignment horizontal="center" vertical="center"/>
    </xf>
    <xf numFmtId="49" fontId="21" fillId="0" borderId="39" xfId="0" applyNumberFormat="1" applyFont="1" applyFill="1" applyBorder="1" applyAlignment="1" applyProtection="1">
      <alignment horizontal="center" vertical="center"/>
    </xf>
    <xf numFmtId="49" fontId="20" fillId="0" borderId="40" xfId="0" applyNumberFormat="1" applyFont="1" applyFill="1" applyBorder="1" applyAlignment="1" applyProtection="1">
      <alignment horizontal="left" vertical="center"/>
    </xf>
    <xf numFmtId="49" fontId="20" fillId="0" borderId="41" xfId="0" applyNumberFormat="1" applyFont="1" applyFill="1" applyBorder="1" applyAlignment="1" applyProtection="1">
      <alignment horizontal="left" vertical="center"/>
    </xf>
    <xf numFmtId="49" fontId="21" fillId="0" borderId="41" xfId="0" applyNumberFormat="1" applyFont="1" applyFill="1" applyBorder="1" applyAlignment="1" applyProtection="1">
      <alignment horizontal="left" vertical="center"/>
    </xf>
    <xf numFmtId="49" fontId="21" fillId="0" borderId="42" xfId="0" applyNumberFormat="1" applyFont="1" applyFill="1" applyBorder="1" applyAlignment="1" applyProtection="1">
      <alignment horizontal="center" vertical="center"/>
    </xf>
    <xf numFmtId="49" fontId="21" fillId="0" borderId="43" xfId="0" applyNumberFormat="1" applyFont="1" applyFill="1" applyBorder="1" applyAlignment="1" applyProtection="1">
      <alignment horizontal="center" vertical="center"/>
    </xf>
    <xf numFmtId="49" fontId="21" fillId="0" borderId="44" xfId="0" applyNumberFormat="1" applyFont="1" applyFill="1" applyBorder="1" applyAlignment="1" applyProtection="1">
      <alignment horizontal="center" vertical="center"/>
    </xf>
    <xf numFmtId="49" fontId="21" fillId="0" borderId="45" xfId="0" applyNumberFormat="1" applyFont="1" applyFill="1" applyBorder="1" applyAlignment="1" applyProtection="1">
      <alignment horizontal="center" vertical="center"/>
    </xf>
    <xf numFmtId="49" fontId="21" fillId="0" borderId="46" xfId="0" applyNumberFormat="1" applyFont="1" applyFill="1" applyBorder="1" applyAlignment="1" applyProtection="1">
      <alignment horizontal="center" vertical="center"/>
    </xf>
    <xf numFmtId="49" fontId="22" fillId="6" borderId="47" xfId="0" applyNumberFormat="1" applyFont="1" applyFill="1" applyBorder="1" applyAlignment="1" applyProtection="1">
      <alignment horizontal="left" vertical="center"/>
    </xf>
    <xf numFmtId="49" fontId="23" fillId="6" borderId="47" xfId="0" applyNumberFormat="1" applyFont="1" applyFill="1" applyBorder="1" applyAlignment="1" applyProtection="1">
      <alignment horizontal="left" vertical="center"/>
    </xf>
    <xf numFmtId="4" fontId="23" fillId="6" borderId="47" xfId="0" applyNumberFormat="1" applyFont="1" applyFill="1" applyBorder="1" applyAlignment="1" applyProtection="1">
      <alignment horizontal="right" vertical="center"/>
    </xf>
    <xf numFmtId="49" fontId="23" fillId="6" borderId="47" xfId="0" applyNumberFormat="1" applyFont="1" applyFill="1" applyBorder="1" applyAlignment="1" applyProtection="1">
      <alignment horizontal="right" vertical="center"/>
    </xf>
    <xf numFmtId="49" fontId="24" fillId="0" borderId="0" xfId="0" applyNumberFormat="1" applyFont="1" applyFill="1" applyBorder="1" applyAlignment="1" applyProtection="1">
      <alignment horizontal="left" vertical="center"/>
    </xf>
    <xf numFmtId="4" fontId="24" fillId="0" borderId="0" xfId="0" applyNumberFormat="1" applyFont="1" applyFill="1" applyBorder="1" applyAlignment="1" applyProtection="1">
      <alignment horizontal="right" vertical="center"/>
    </xf>
    <xf numFmtId="49" fontId="24" fillId="0" borderId="0" xfId="0" applyNumberFormat="1" applyFont="1" applyFill="1" applyBorder="1" applyAlignment="1" applyProtection="1">
      <alignment horizontal="right" vertical="center"/>
    </xf>
    <xf numFmtId="49" fontId="22" fillId="6" borderId="0" xfId="0" applyNumberFormat="1" applyFont="1" applyFill="1" applyBorder="1" applyAlignment="1" applyProtection="1">
      <alignment horizontal="left" vertical="center"/>
    </xf>
    <xf numFmtId="49" fontId="23" fillId="6" borderId="0" xfId="0" applyNumberFormat="1" applyFont="1" applyFill="1" applyBorder="1" applyAlignment="1" applyProtection="1">
      <alignment horizontal="left" vertical="center"/>
    </xf>
    <xf numFmtId="4" fontId="23" fillId="6" borderId="0" xfId="0" applyNumberFormat="1" applyFont="1" applyFill="1" applyBorder="1" applyAlignment="1" applyProtection="1">
      <alignment horizontal="right" vertical="center"/>
    </xf>
    <xf numFmtId="49" fontId="23" fillId="6" borderId="0" xfId="0" applyNumberFormat="1" applyFont="1" applyFill="1" applyBorder="1" applyAlignment="1" applyProtection="1">
      <alignment horizontal="right" vertical="center"/>
    </xf>
    <xf numFmtId="49" fontId="24" fillId="0" borderId="6" xfId="0" applyNumberFormat="1" applyFont="1" applyFill="1" applyBorder="1" applyAlignment="1" applyProtection="1">
      <alignment horizontal="left" vertical="center"/>
    </xf>
    <xf numFmtId="4" fontId="24" fillId="0" borderId="6" xfId="0" applyNumberFormat="1" applyFont="1" applyFill="1" applyBorder="1" applyAlignment="1" applyProtection="1">
      <alignment horizontal="right" vertical="center"/>
    </xf>
    <xf numFmtId="49" fontId="24" fillId="0" borderId="6" xfId="0" applyNumberFormat="1" applyFont="1" applyFill="1" applyBorder="1" applyAlignment="1" applyProtection="1">
      <alignment horizontal="right" vertical="center"/>
    </xf>
    <xf numFmtId="0" fontId="20" fillId="0" borderId="15" xfId="0" applyNumberFormat="1" applyFont="1" applyFill="1" applyBorder="1" applyAlignment="1" applyProtection="1">
      <alignment vertical="center"/>
    </xf>
    <xf numFmtId="4" fontId="21" fillId="0" borderId="15" xfId="0" applyNumberFormat="1" applyFont="1" applyFill="1" applyBorder="1" applyAlignment="1" applyProtection="1">
      <alignment horizontal="right" vertical="center"/>
    </xf>
    <xf numFmtId="49" fontId="25" fillId="0" borderId="0" xfId="0" applyNumberFormat="1" applyFont="1" applyFill="1" applyBorder="1" applyAlignment="1" applyProtection="1">
      <alignment horizontal="left" vertical="center"/>
    </xf>
    <xf numFmtId="0" fontId="20" fillId="0" borderId="0" xfId="0" applyFont="1" applyAlignment="1">
      <alignment vertical="center"/>
    </xf>
    <xf numFmtId="0" fontId="20" fillId="0" borderId="6" xfId="0" applyNumberFormat="1" applyFont="1" applyFill="1" applyBorder="1" applyAlignment="1" applyProtection="1"/>
    <xf numFmtId="0" fontId="20" fillId="0" borderId="6" xfId="0" applyNumberFormat="1" applyFont="1" applyFill="1" applyBorder="1" applyAlignment="1" applyProtection="1">
      <alignment vertical="center"/>
    </xf>
    <xf numFmtId="49" fontId="28" fillId="7" borderId="18" xfId="0" applyNumberFormat="1" applyFont="1" applyFill="1" applyBorder="1" applyAlignment="1" applyProtection="1">
      <alignment horizontal="center" vertical="center"/>
    </xf>
    <xf numFmtId="49" fontId="30" fillId="0" borderId="23" xfId="0" applyNumberFormat="1" applyFont="1" applyFill="1" applyBorder="1" applyAlignment="1" applyProtection="1">
      <alignment horizontal="left" vertical="center"/>
    </xf>
    <xf numFmtId="49" fontId="31" fillId="0" borderId="18" xfId="0" applyNumberFormat="1" applyFont="1" applyFill="1" applyBorder="1" applyAlignment="1" applyProtection="1">
      <alignment horizontal="left" vertical="center"/>
    </xf>
    <xf numFmtId="4" fontId="31" fillId="0" borderId="18" xfId="0" applyNumberFormat="1" applyFont="1" applyFill="1" applyBorder="1" applyAlignment="1" applyProtection="1">
      <alignment horizontal="right" vertical="center"/>
    </xf>
    <xf numFmtId="49" fontId="30" fillId="0" borderId="21" xfId="0" applyNumberFormat="1" applyFont="1" applyFill="1" applyBorder="1" applyAlignment="1" applyProtection="1">
      <alignment horizontal="left" vertical="center"/>
    </xf>
    <xf numFmtId="49" fontId="31" fillId="0" borderId="18" xfId="0" applyNumberFormat="1" applyFont="1" applyFill="1" applyBorder="1" applyAlignment="1" applyProtection="1">
      <alignment horizontal="right" vertical="center"/>
    </xf>
    <xf numFmtId="0" fontId="20" fillId="0" borderId="33" xfId="0" applyNumberFormat="1" applyFont="1" applyFill="1" applyBorder="1" applyAlignment="1" applyProtection="1">
      <alignment vertical="center"/>
    </xf>
    <xf numFmtId="4" fontId="31" fillId="0" borderId="44" xfId="0" applyNumberFormat="1" applyFont="1" applyFill="1" applyBorder="1" applyAlignment="1" applyProtection="1">
      <alignment horizontal="right" vertical="center"/>
    </xf>
    <xf numFmtId="0" fontId="20" fillId="0" borderId="48" xfId="0" applyNumberFormat="1" applyFont="1" applyFill="1" applyBorder="1" applyAlignment="1" applyProtection="1">
      <alignment vertical="center"/>
    </xf>
    <xf numFmtId="0" fontId="20" fillId="0" borderId="28" xfId="0" applyNumberFormat="1" applyFont="1" applyFill="1" applyBorder="1" applyAlignment="1" applyProtection="1">
      <alignment vertical="center"/>
    </xf>
    <xf numFmtId="4" fontId="30" fillId="7" borderId="27" xfId="0" applyNumberFormat="1" applyFont="1" applyFill="1" applyBorder="1" applyAlignment="1" applyProtection="1">
      <alignment horizontal="right" vertical="center"/>
    </xf>
    <xf numFmtId="0" fontId="20" fillId="0" borderId="8" xfId="0" applyNumberFormat="1" applyFont="1" applyFill="1" applyBorder="1" applyAlignment="1" applyProtection="1">
      <alignment vertical="center"/>
    </xf>
    <xf numFmtId="0" fontId="20" fillId="0" borderId="49" xfId="0" applyNumberFormat="1" applyFont="1" applyFill="1" applyBorder="1" applyAlignment="1" applyProtection="1">
      <alignment vertical="center"/>
    </xf>
    <xf numFmtId="49" fontId="25" fillId="0" borderId="47" xfId="0" applyNumberFormat="1" applyFont="1" applyFill="1" applyBorder="1" applyAlignment="1" applyProtection="1">
      <alignment horizontal="left" vertical="center"/>
    </xf>
    <xf numFmtId="0" fontId="20" fillId="0" borderId="47" xfId="0" applyNumberFormat="1" applyFont="1" applyFill="1" applyBorder="1" applyAlignment="1" applyProtection="1">
      <alignment vertical="center"/>
    </xf>
    <xf numFmtId="0" fontId="20" fillId="0" borderId="19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vertical="center"/>
    </xf>
    <xf numFmtId="4" fontId="20" fillId="0" borderId="0" xfId="0" applyNumberFormat="1" applyFont="1" applyFill="1" applyBorder="1" applyAlignment="1" applyProtection="1">
      <alignment horizontal="right" vertical="center"/>
    </xf>
    <xf numFmtId="49" fontId="20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/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49" fontId="20" fillId="0" borderId="0" xfId="0" applyNumberFormat="1" applyFont="1" applyFill="1" applyBorder="1" applyAlignment="1" applyProtection="1">
      <alignment horizontal="left" vertical="center"/>
    </xf>
    <xf numFmtId="49" fontId="21" fillId="0" borderId="51" xfId="0" applyNumberFormat="1" applyFont="1" applyFill="1" applyBorder="1" applyAlignment="1" applyProtection="1">
      <alignment horizontal="left" vertical="center"/>
    </xf>
    <xf numFmtId="49" fontId="21" fillId="0" borderId="52" xfId="0" applyNumberFormat="1" applyFont="1" applyFill="1" applyBorder="1" applyAlignment="1" applyProtection="1">
      <alignment horizontal="left" vertical="center"/>
    </xf>
    <xf numFmtId="49" fontId="21" fillId="0" borderId="53" xfId="0" applyNumberFormat="1" applyFont="1" applyFill="1" applyBorder="1" applyAlignment="1" applyProtection="1">
      <alignment horizontal="left" vertical="center"/>
    </xf>
    <xf numFmtId="49" fontId="21" fillId="0" borderId="53" xfId="0" applyNumberFormat="1" applyFont="1" applyFill="1" applyBorder="1" applyAlignment="1" applyProtection="1">
      <alignment horizontal="center" vertical="center"/>
    </xf>
    <xf numFmtId="49" fontId="21" fillId="0" borderId="51" xfId="0" applyNumberFormat="1" applyFont="1" applyFill="1" applyBorder="1" applyAlignment="1" applyProtection="1">
      <alignment horizontal="center" vertical="center"/>
    </xf>
    <xf numFmtId="49" fontId="20" fillId="0" borderId="47" xfId="0" applyNumberFormat="1" applyFont="1" applyFill="1" applyBorder="1" applyAlignment="1" applyProtection="1">
      <alignment horizontal="left" vertical="center"/>
    </xf>
    <xf numFmtId="4" fontId="20" fillId="0" borderId="47" xfId="0" applyNumberFormat="1" applyFont="1" applyFill="1" applyBorder="1" applyAlignment="1" applyProtection="1">
      <alignment horizontal="right" vertical="center"/>
    </xf>
    <xf numFmtId="49" fontId="21" fillId="0" borderId="0" xfId="0" applyNumberFormat="1" applyFont="1" applyFill="1" applyBorder="1" applyAlignment="1" applyProtection="1">
      <alignment horizontal="left" vertical="center"/>
    </xf>
    <xf numFmtId="4" fontId="21" fillId="0" borderId="0" xfId="0" applyNumberFormat="1" applyFont="1" applyFill="1" applyBorder="1" applyAlignment="1" applyProtection="1">
      <alignment horizontal="right" vertical="center"/>
    </xf>
    <xf numFmtId="0" fontId="4" fillId="8" borderId="24" xfId="0" applyFont="1" applyFill="1" applyBorder="1" applyAlignment="1">
      <alignment horizontal="left" vertical="center" indent="1"/>
    </xf>
    <xf numFmtId="0" fontId="0" fillId="8" borderId="25" xfId="0" applyFill="1" applyBorder="1"/>
    <xf numFmtId="49" fontId="8" fillId="8" borderId="26" xfId="0" applyNumberFormat="1" applyFont="1" applyFill="1" applyBorder="1" applyAlignment="1">
      <alignment horizontal="left" vertical="center"/>
    </xf>
    <xf numFmtId="0" fontId="4" fillId="9" borderId="24" xfId="0" applyFont="1" applyFill="1" applyBorder="1" applyAlignment="1">
      <alignment horizontal="left" vertical="center" indent="1"/>
    </xf>
    <xf numFmtId="0" fontId="5" fillId="9" borderId="25" xfId="0" applyFont="1" applyFill="1" applyBorder="1" applyAlignment="1">
      <alignment horizontal="left" vertical="center"/>
    </xf>
    <xf numFmtId="0" fontId="0" fillId="9" borderId="25" xfId="0" applyFill="1" applyBorder="1" applyAlignment="1">
      <alignment horizontal="left" vertical="center"/>
    </xf>
    <xf numFmtId="4" fontId="4" fillId="9" borderId="25" xfId="0" applyNumberFormat="1" applyFont="1" applyFill="1" applyBorder="1" applyAlignment="1">
      <alignment horizontal="left" vertical="center"/>
    </xf>
    <xf numFmtId="49" fontId="0" fillId="9" borderId="26" xfId="0" applyNumberFormat="1" applyFill="1" applyBorder="1" applyAlignment="1">
      <alignment horizontal="left" vertical="center"/>
    </xf>
    <xf numFmtId="4" fontId="32" fillId="0" borderId="18" xfId="0" applyNumberFormat="1" applyFont="1" applyFill="1" applyBorder="1" applyAlignment="1" applyProtection="1">
      <alignment horizontal="right" vertical="center"/>
    </xf>
    <xf numFmtId="49" fontId="19" fillId="0" borderId="6" xfId="0" applyNumberFormat="1" applyFont="1" applyFill="1" applyBorder="1" applyAlignment="1" applyProtection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/>
    </xf>
    <xf numFmtId="0" fontId="20" fillId="0" borderId="22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/>
    </xf>
    <xf numFmtId="0" fontId="20" fillId="0" borderId="19" xfId="0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horizontal="left" vertical="center"/>
    </xf>
    <xf numFmtId="0" fontId="21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>
      <alignment horizontal="left" vertical="center"/>
    </xf>
    <xf numFmtId="49" fontId="20" fillId="0" borderId="15" xfId="0" applyNumberFormat="1" applyFont="1" applyFill="1" applyBorder="1" applyAlignment="1" applyProtection="1">
      <alignment horizontal="left" vertical="center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20" fillId="0" borderId="33" xfId="0" applyNumberFormat="1" applyFont="1" applyFill="1" applyBorder="1" applyAlignment="1" applyProtection="1">
      <alignment horizontal="left" vertical="center"/>
    </xf>
    <xf numFmtId="0" fontId="20" fillId="0" borderId="28" xfId="0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horizontal="left" vertical="center" wrapText="1"/>
    </xf>
    <xf numFmtId="0" fontId="20" fillId="0" borderId="19" xfId="0" applyNumberFormat="1" applyFont="1" applyFill="1" applyBorder="1" applyAlignment="1" applyProtection="1">
      <alignment horizontal="left" vertical="center" wrapText="1"/>
    </xf>
    <xf numFmtId="49" fontId="20" fillId="0" borderId="0" xfId="0" applyNumberFormat="1" applyFont="1" applyFill="1" applyBorder="1" applyAlignment="1" applyProtection="1">
      <alignment horizontal="left" vertical="center"/>
    </xf>
    <xf numFmtId="49" fontId="21" fillId="0" borderId="30" xfId="0" applyNumberFormat="1" applyFont="1" applyFill="1" applyBorder="1" applyAlignment="1" applyProtection="1">
      <alignment horizontal="center" vertical="center"/>
    </xf>
    <xf numFmtId="0" fontId="21" fillId="0" borderId="31" xfId="0" applyNumberFormat="1" applyFont="1" applyFill="1" applyBorder="1" applyAlignment="1" applyProtection="1">
      <alignment horizontal="center" vertical="center"/>
    </xf>
    <xf numFmtId="0" fontId="21" fillId="0" borderId="32" xfId="0" applyNumberFormat="1" applyFont="1" applyFill="1" applyBorder="1" applyAlignment="1" applyProtection="1">
      <alignment horizontal="center" vertical="center"/>
    </xf>
    <xf numFmtId="49" fontId="21" fillId="0" borderId="15" xfId="0" applyNumberFormat="1" applyFont="1" applyFill="1" applyBorder="1" applyAlignment="1" applyProtection="1">
      <alignment horizontal="left" vertical="center"/>
    </xf>
    <xf numFmtId="0" fontId="21" fillId="0" borderId="15" xfId="0" applyNumberFormat="1" applyFont="1" applyFill="1" applyBorder="1" applyAlignment="1" applyProtection="1">
      <alignment horizontal="left" vertical="center"/>
    </xf>
    <xf numFmtId="0" fontId="20" fillId="0" borderId="34" xfId="0" applyNumberFormat="1" applyFont="1" applyFill="1" applyBorder="1" applyAlignment="1" applyProtection="1">
      <alignment horizontal="left" vertical="center"/>
    </xf>
    <xf numFmtId="0" fontId="20" fillId="0" borderId="4" xfId="0" applyNumberFormat="1" applyFont="1" applyFill="1" applyBorder="1" applyAlignment="1" applyProtection="1">
      <alignment horizontal="left" vertical="center"/>
    </xf>
    <xf numFmtId="0" fontId="20" fillId="0" borderId="35" xfId="0" applyNumberFormat="1" applyFont="1" applyFill="1" applyBorder="1" applyAlignment="1" applyProtection="1">
      <alignment horizontal="left" vertical="center"/>
    </xf>
    <xf numFmtId="49" fontId="20" fillId="0" borderId="0" xfId="0" applyNumberFormat="1" applyFont="1" applyFill="1" applyBorder="1" applyAlignment="1" applyProtection="1">
      <alignment horizontal="left" vertical="center" wrapText="1"/>
    </xf>
    <xf numFmtId="0" fontId="26" fillId="0" borderId="6" xfId="0" applyNumberFormat="1" applyFont="1" applyFill="1" applyBorder="1" applyAlignment="1" applyProtection="1">
      <alignment horizontal="center" vertical="center" wrapText="1"/>
    </xf>
    <xf numFmtId="0" fontId="26" fillId="0" borderId="6" xfId="0" applyNumberFormat="1" applyFont="1" applyFill="1" applyBorder="1" applyAlignment="1" applyProtection="1">
      <alignment horizontal="center" vertical="center"/>
    </xf>
    <xf numFmtId="49" fontId="20" fillId="0" borderId="33" xfId="0" applyNumberFormat="1" applyFont="1" applyFill="1" applyBorder="1" applyAlignment="1" applyProtection="1">
      <alignment horizontal="left" vertical="center"/>
    </xf>
    <xf numFmtId="49" fontId="20" fillId="0" borderId="28" xfId="0" applyNumberFormat="1" applyFont="1" applyFill="1" applyBorder="1" applyAlignment="1" applyProtection="1">
      <alignment horizontal="left" vertical="center"/>
    </xf>
    <xf numFmtId="0" fontId="20" fillId="0" borderId="28" xfId="0" applyNumberFormat="1" applyFont="1" applyFill="1" applyBorder="1" applyAlignment="1" applyProtection="1">
      <alignment horizontal="left" vertical="center" wrapText="1"/>
    </xf>
    <xf numFmtId="0" fontId="20" fillId="0" borderId="29" xfId="0" applyNumberFormat="1" applyFont="1" applyFill="1" applyBorder="1" applyAlignment="1" applyProtection="1">
      <alignment horizontal="left" vertical="center"/>
    </xf>
    <xf numFmtId="0" fontId="20" fillId="0" borderId="8" xfId="0" applyNumberFormat="1" applyFont="1" applyFill="1" applyBorder="1" applyAlignment="1" applyProtection="1">
      <alignment horizontal="left" vertical="center"/>
    </xf>
    <xf numFmtId="0" fontId="20" fillId="0" borderId="6" xfId="0" applyNumberFormat="1" applyFont="1" applyFill="1" applyBorder="1" applyAlignment="1" applyProtection="1">
      <alignment horizontal="left" vertical="center"/>
    </xf>
    <xf numFmtId="49" fontId="27" fillId="0" borderId="9" xfId="0" applyNumberFormat="1" applyFont="1" applyFill="1" applyBorder="1" applyAlignment="1" applyProtection="1">
      <alignment horizontal="center" vertical="center"/>
    </xf>
    <xf numFmtId="0" fontId="27" fillId="0" borderId="9" xfId="0" applyNumberFormat="1" applyFont="1" applyFill="1" applyBorder="1" applyAlignment="1" applyProtection="1">
      <alignment horizontal="center" vertical="center"/>
    </xf>
    <xf numFmtId="49" fontId="29" fillId="0" borderId="12" xfId="0" applyNumberFormat="1" applyFont="1" applyFill="1" applyBorder="1" applyAlignment="1" applyProtection="1">
      <alignment horizontal="left" vertical="center"/>
    </xf>
    <xf numFmtId="0" fontId="29" fillId="0" borderId="27" xfId="0" applyNumberFormat="1" applyFont="1" applyFill="1" applyBorder="1" applyAlignment="1" applyProtection="1">
      <alignment horizontal="left" vertical="center"/>
    </xf>
    <xf numFmtId="49" fontId="31" fillId="0" borderId="12" xfId="0" applyNumberFormat="1" applyFont="1" applyFill="1" applyBorder="1" applyAlignment="1" applyProtection="1">
      <alignment horizontal="left" vertical="center"/>
    </xf>
    <xf numFmtId="0" fontId="31" fillId="0" borderId="27" xfId="0" applyNumberFormat="1" applyFont="1" applyFill="1" applyBorder="1" applyAlignment="1" applyProtection="1">
      <alignment horizontal="left" vertical="center"/>
    </xf>
    <xf numFmtId="49" fontId="30" fillId="0" borderId="12" xfId="0" applyNumberFormat="1" applyFont="1" applyFill="1" applyBorder="1" applyAlignment="1" applyProtection="1">
      <alignment horizontal="left" vertical="center"/>
    </xf>
    <xf numFmtId="0" fontId="30" fillId="0" borderId="27" xfId="0" applyNumberFormat="1" applyFont="1" applyFill="1" applyBorder="1" applyAlignment="1" applyProtection="1">
      <alignment horizontal="left" vertical="center"/>
    </xf>
    <xf numFmtId="49" fontId="30" fillId="7" borderId="12" xfId="0" applyNumberFormat="1" applyFont="1" applyFill="1" applyBorder="1" applyAlignment="1" applyProtection="1">
      <alignment horizontal="left" vertical="center"/>
    </xf>
    <xf numFmtId="0" fontId="30" fillId="7" borderId="9" xfId="0" applyNumberFormat="1" applyFont="1" applyFill="1" applyBorder="1" applyAlignment="1" applyProtection="1">
      <alignment horizontal="left" vertical="center"/>
    </xf>
    <xf numFmtId="49" fontId="31" fillId="0" borderId="17" xfId="0" applyNumberFormat="1" applyFont="1" applyFill="1" applyBorder="1" applyAlignment="1" applyProtection="1">
      <alignment horizontal="left" vertical="center"/>
    </xf>
    <xf numFmtId="0" fontId="31" fillId="0" borderId="47" xfId="0" applyNumberFormat="1" applyFont="1" applyFill="1" applyBorder="1" applyAlignment="1" applyProtection="1">
      <alignment horizontal="left" vertical="center"/>
    </xf>
    <xf numFmtId="0" fontId="31" fillId="0" borderId="50" xfId="0" applyNumberFormat="1" applyFont="1" applyFill="1" applyBorder="1" applyAlignment="1" applyProtection="1">
      <alignment horizontal="left" vertical="center"/>
    </xf>
    <xf numFmtId="49" fontId="31" fillId="0" borderId="1" xfId="0" applyNumberFormat="1" applyFont="1" applyFill="1" applyBorder="1" applyAlignment="1" applyProtection="1">
      <alignment horizontal="left" vertical="center"/>
    </xf>
    <xf numFmtId="0" fontId="31" fillId="0" borderId="0" xfId="0" applyNumberFormat="1" applyFont="1" applyFill="1" applyBorder="1" applyAlignment="1" applyProtection="1">
      <alignment horizontal="left" vertical="center"/>
    </xf>
    <xf numFmtId="0" fontId="31" fillId="0" borderId="2" xfId="0" applyNumberFormat="1" applyFont="1" applyFill="1" applyBorder="1" applyAlignment="1" applyProtection="1">
      <alignment horizontal="left" vertical="center"/>
    </xf>
    <xf numFmtId="49" fontId="31" fillId="0" borderId="3" xfId="0" applyNumberFormat="1" applyFont="1" applyFill="1" applyBorder="1" applyAlignment="1" applyProtection="1">
      <alignment horizontal="left" vertical="center"/>
    </xf>
    <xf numFmtId="0" fontId="31" fillId="0" borderId="4" xfId="0" applyNumberFormat="1" applyFont="1" applyFill="1" applyBorder="1" applyAlignment="1" applyProtection="1">
      <alignment horizontal="left" vertical="center"/>
    </xf>
    <xf numFmtId="0" fontId="31" fillId="0" borderId="5" xfId="0" applyNumberFormat="1" applyFont="1" applyFill="1" applyBorder="1" applyAlignment="1" applyProtection="1">
      <alignment horizontal="left" vertical="center"/>
    </xf>
    <xf numFmtId="4" fontId="12" fillId="8" borderId="25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9" borderId="25" xfId="0" applyNumberFormat="1" applyFont="1" applyFill="1" applyBorder="1" applyAlignment="1">
      <alignment horizontal="right" vertical="center"/>
    </xf>
    <xf numFmtId="2" fontId="12" fillId="9" borderId="25" xfId="0" applyNumberFormat="1" applyFont="1" applyFill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9" fontId="8" fillId="0" borderId="15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5" fillId="0" borderId="0" xfId="0" applyNumberFormat="1" applyFont="1" applyBorder="1"/>
    <xf numFmtId="3" fontId="5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2" xfId="0" applyNumberFormat="1" applyFill="1" applyBorder="1"/>
    <xf numFmtId="3" fontId="0" fillId="2" borderId="9" xfId="0" applyNumberFormat="1" applyFill="1" applyBorder="1"/>
    <xf numFmtId="3" fontId="0" fillId="2" borderId="27" xfId="0" applyNumberFormat="1" applyFill="1" applyBorder="1"/>
    <xf numFmtId="0" fontId="0" fillId="0" borderId="15" xfId="0" applyBorder="1" applyAlignment="1">
      <alignment horizontal="center"/>
    </xf>
    <xf numFmtId="4" fontId="12" fillId="2" borderId="25" xfId="0" applyNumberFormat="1" applyFont="1" applyFill="1" applyBorder="1" applyAlignment="1">
      <alignment horizontal="right" vertical="center"/>
    </xf>
    <xf numFmtId="2" fontId="12" fillId="2" borderId="25" xfId="0" applyNumberFormat="1" applyFont="1" applyFill="1" applyBorder="1" applyAlignment="1">
      <alignment horizontal="right" vertical="center"/>
    </xf>
    <xf numFmtId="49" fontId="3" fillId="0" borderId="19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22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vertical="center" wrapText="1"/>
    </xf>
    <xf numFmtId="49" fontId="3" fillId="0" borderId="8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0" fillId="3" borderId="22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228600</xdr:colOff>
      <xdr:row>0</xdr:row>
      <xdr:rowOff>885825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866775</xdr:colOff>
      <xdr:row>0</xdr:row>
      <xdr:rowOff>885825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6775" cy="8858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D_PODLAHA_2-ZS-MIL_DOPL_08-2019_VR\B_ROZPOCET\rozpocet_vstu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Stavební rozpočet - součet"/>
      <sheetName val="Krycí list rozpočtu"/>
    </sheetNames>
    <sheetDataSet>
      <sheetData sheetId="0">
        <row r="2">
          <cell r="J2" t="str">
            <v xml:space="preserve"> </v>
          </cell>
        </row>
        <row r="4">
          <cell r="J4" t="str">
            <v xml:space="preserve"> </v>
          </cell>
        </row>
        <row r="6">
          <cell r="G6" t="str">
            <v xml:space="preserve"> </v>
          </cell>
          <cell r="J6" t="str">
            <v xml:space="preserve"> </v>
          </cell>
        </row>
        <row r="8">
          <cell r="G8" t="str">
            <v>04.04.2019</v>
          </cell>
          <cell r="J8" t="str">
            <v xml:space="preserve"> </v>
          </cell>
        </row>
        <row r="13">
          <cell r="Z13">
            <v>0</v>
          </cell>
        </row>
        <row r="15">
          <cell r="Z15">
            <v>0</v>
          </cell>
        </row>
        <row r="16">
          <cell r="Z16">
            <v>0</v>
          </cell>
        </row>
        <row r="17">
          <cell r="Z17">
            <v>0</v>
          </cell>
        </row>
        <row r="18">
          <cell r="Z18">
            <v>0</v>
          </cell>
        </row>
        <row r="19">
          <cell r="Z19">
            <v>0</v>
          </cell>
        </row>
        <row r="20">
          <cell r="Z20">
            <v>0</v>
          </cell>
        </row>
        <row r="22">
          <cell r="Z22">
            <v>0</v>
          </cell>
        </row>
        <row r="23">
          <cell r="Z23">
            <v>0</v>
          </cell>
        </row>
        <row r="24">
          <cell r="Z24">
            <v>0</v>
          </cell>
        </row>
        <row r="25">
          <cell r="Z25">
            <v>0</v>
          </cell>
        </row>
        <row r="26">
          <cell r="Z26">
            <v>0</v>
          </cell>
        </row>
        <row r="28">
          <cell r="Z28">
            <v>0</v>
          </cell>
        </row>
        <row r="30">
          <cell r="Z30">
            <v>0</v>
          </cell>
        </row>
        <row r="31">
          <cell r="Z31">
            <v>0</v>
          </cell>
        </row>
        <row r="33">
          <cell r="Z33">
            <v>0</v>
          </cell>
        </row>
        <row r="35">
          <cell r="Z35">
            <v>0</v>
          </cell>
        </row>
        <row r="37">
          <cell r="Z37">
            <v>0</v>
          </cell>
        </row>
        <row r="38">
          <cell r="Z38">
            <v>0</v>
          </cell>
        </row>
        <row r="39">
          <cell r="Z39">
            <v>0</v>
          </cell>
        </row>
        <row r="40">
          <cell r="Z40">
            <v>0</v>
          </cell>
        </row>
        <row r="42">
          <cell r="Z42">
            <v>0</v>
          </cell>
        </row>
        <row r="43">
          <cell r="Z43">
            <v>0</v>
          </cell>
        </row>
        <row r="45">
          <cell r="Z45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V53"/>
  <sheetViews>
    <sheetView topLeftCell="A22" workbookViewId="0">
      <selection activeCell="N46" sqref="N46"/>
    </sheetView>
  </sheetViews>
  <sheetFormatPr defaultRowHeight="12.75" x14ac:dyDescent="0.2"/>
  <sheetData>
    <row r="1" spans="1:48" ht="23.25" x14ac:dyDescent="0.35">
      <c r="A1" s="288" t="s">
        <v>513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</row>
    <row r="2" spans="1:48" x14ac:dyDescent="0.2">
      <c r="A2" s="290" t="s">
        <v>514</v>
      </c>
      <c r="B2" s="291"/>
      <c r="C2" s="291"/>
      <c r="D2" s="294" t="s">
        <v>515</v>
      </c>
      <c r="E2" s="296" t="s">
        <v>516</v>
      </c>
      <c r="F2" s="291"/>
      <c r="G2" s="296" t="s">
        <v>517</v>
      </c>
      <c r="H2" s="291"/>
      <c r="I2" s="297" t="s">
        <v>23</v>
      </c>
      <c r="J2" s="297" t="s">
        <v>517</v>
      </c>
      <c r="K2" s="291"/>
      <c r="L2" s="291"/>
      <c r="M2" s="298"/>
      <c r="N2" s="257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</row>
    <row r="3" spans="1:48" x14ac:dyDescent="0.2">
      <c r="A3" s="292"/>
      <c r="B3" s="293"/>
      <c r="C3" s="293"/>
      <c r="D3" s="295"/>
      <c r="E3" s="293"/>
      <c r="F3" s="293"/>
      <c r="G3" s="293"/>
      <c r="H3" s="293"/>
      <c r="I3" s="293"/>
      <c r="J3" s="293"/>
      <c r="K3" s="293"/>
      <c r="L3" s="293"/>
      <c r="M3" s="299"/>
      <c r="N3" s="257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  <c r="AU3" s="239"/>
      <c r="AV3" s="239"/>
    </row>
    <row r="4" spans="1:48" x14ac:dyDescent="0.2">
      <c r="A4" s="301" t="s">
        <v>518</v>
      </c>
      <c r="B4" s="293"/>
      <c r="C4" s="293"/>
      <c r="D4" s="300" t="s">
        <v>519</v>
      </c>
      <c r="E4" s="302" t="s">
        <v>520</v>
      </c>
      <c r="F4" s="293"/>
      <c r="G4" s="302" t="s">
        <v>521</v>
      </c>
      <c r="H4" s="293"/>
      <c r="I4" s="300" t="s">
        <v>21</v>
      </c>
      <c r="J4" s="300" t="s">
        <v>517</v>
      </c>
      <c r="K4" s="293"/>
      <c r="L4" s="293"/>
      <c r="M4" s="299"/>
      <c r="N4" s="257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</row>
    <row r="5" spans="1:48" x14ac:dyDescent="0.2">
      <c r="A5" s="292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9"/>
      <c r="N5" s="257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  <c r="AU5" s="239"/>
      <c r="AV5" s="239"/>
    </row>
    <row r="6" spans="1:48" x14ac:dyDescent="0.2">
      <c r="A6" s="301" t="s">
        <v>522</v>
      </c>
      <c r="B6" s="293"/>
      <c r="C6" s="293"/>
      <c r="D6" s="300" t="s">
        <v>48</v>
      </c>
      <c r="E6" s="302" t="s">
        <v>523</v>
      </c>
      <c r="F6" s="293"/>
      <c r="G6" s="302" t="s">
        <v>517</v>
      </c>
      <c r="H6" s="293"/>
      <c r="I6" s="300" t="s">
        <v>20</v>
      </c>
      <c r="J6" s="300" t="s">
        <v>517</v>
      </c>
      <c r="K6" s="293"/>
      <c r="L6" s="293"/>
      <c r="M6" s="299"/>
      <c r="N6" s="257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</row>
    <row r="7" spans="1:48" x14ac:dyDescent="0.2">
      <c r="A7" s="292"/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9"/>
      <c r="N7" s="257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  <c r="AM7" s="239"/>
      <c r="AN7" s="239"/>
      <c r="AO7" s="239"/>
      <c r="AP7" s="239"/>
      <c r="AQ7" s="239"/>
      <c r="AR7" s="239"/>
      <c r="AS7" s="239"/>
      <c r="AT7" s="239"/>
      <c r="AU7" s="239"/>
      <c r="AV7" s="239"/>
    </row>
    <row r="8" spans="1:48" x14ac:dyDescent="0.2">
      <c r="A8" s="301" t="s">
        <v>524</v>
      </c>
      <c r="B8" s="293"/>
      <c r="C8" s="293"/>
      <c r="D8" s="300" t="s">
        <v>517</v>
      </c>
      <c r="E8" s="302" t="s">
        <v>525</v>
      </c>
      <c r="F8" s="293"/>
      <c r="G8" s="302" t="s">
        <v>521</v>
      </c>
      <c r="H8" s="293"/>
      <c r="I8" s="300" t="s">
        <v>526</v>
      </c>
      <c r="J8" s="300" t="s">
        <v>517</v>
      </c>
      <c r="K8" s="293"/>
      <c r="L8" s="293"/>
      <c r="M8" s="299"/>
      <c r="N8" s="257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</row>
    <row r="9" spans="1:48" ht="13.5" thickBot="1" x14ac:dyDescent="0.25">
      <c r="A9" s="308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10"/>
      <c r="N9" s="257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239"/>
    </row>
    <row r="10" spans="1:48" x14ac:dyDescent="0.2">
      <c r="A10" s="209" t="s">
        <v>527</v>
      </c>
      <c r="B10" s="210" t="s">
        <v>528</v>
      </c>
      <c r="C10" s="210" t="s">
        <v>529</v>
      </c>
      <c r="D10" s="210" t="s">
        <v>530</v>
      </c>
      <c r="E10" s="210" t="s">
        <v>531</v>
      </c>
      <c r="F10" s="211" t="s">
        <v>532</v>
      </c>
      <c r="G10" s="212" t="s">
        <v>533</v>
      </c>
      <c r="H10" s="303" t="s">
        <v>534</v>
      </c>
      <c r="I10" s="304"/>
      <c r="J10" s="305"/>
      <c r="K10" s="303" t="s">
        <v>535</v>
      </c>
      <c r="L10" s="305"/>
      <c r="M10" s="213" t="s">
        <v>536</v>
      </c>
      <c r="N10" s="258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</row>
    <row r="11" spans="1:48" ht="13.5" thickBot="1" x14ac:dyDescent="0.25">
      <c r="A11" s="214" t="s">
        <v>517</v>
      </c>
      <c r="B11" s="215" t="s">
        <v>517</v>
      </c>
      <c r="C11" s="215" t="s">
        <v>517</v>
      </c>
      <c r="D11" s="216" t="s">
        <v>537</v>
      </c>
      <c r="E11" s="215" t="s">
        <v>517</v>
      </c>
      <c r="F11" s="215" t="s">
        <v>517</v>
      </c>
      <c r="G11" s="217" t="s">
        <v>538</v>
      </c>
      <c r="H11" s="218" t="s">
        <v>539</v>
      </c>
      <c r="I11" s="219" t="s">
        <v>540</v>
      </c>
      <c r="J11" s="220" t="s">
        <v>31</v>
      </c>
      <c r="K11" s="218" t="s">
        <v>533</v>
      </c>
      <c r="L11" s="220" t="s">
        <v>31</v>
      </c>
      <c r="M11" s="221" t="s">
        <v>541</v>
      </c>
      <c r="N11" s="258"/>
      <c r="O11" s="239"/>
      <c r="P11" s="232" t="s">
        <v>641</v>
      </c>
      <c r="Q11" s="232" t="s">
        <v>642</v>
      </c>
      <c r="R11" s="232" t="s">
        <v>643</v>
      </c>
      <c r="S11" s="232" t="s">
        <v>644</v>
      </c>
      <c r="T11" s="232" t="s">
        <v>645</v>
      </c>
      <c r="U11" s="232" t="s">
        <v>646</v>
      </c>
      <c r="V11" s="232" t="s">
        <v>647</v>
      </c>
      <c r="W11" s="232" t="s">
        <v>648</v>
      </c>
      <c r="X11" s="232" t="s">
        <v>649</v>
      </c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</row>
    <row r="12" spans="1:48" x14ac:dyDescent="0.2">
      <c r="A12" s="222"/>
      <c r="B12" s="223"/>
      <c r="C12" s="223" t="s">
        <v>70</v>
      </c>
      <c r="D12" s="223" t="s">
        <v>71</v>
      </c>
      <c r="E12" s="222" t="s">
        <v>517</v>
      </c>
      <c r="F12" s="222" t="s">
        <v>517</v>
      </c>
      <c r="G12" s="222" t="s">
        <v>517</v>
      </c>
      <c r="H12" s="224">
        <f>SUM(H13:H13)</f>
        <v>0</v>
      </c>
      <c r="I12" s="224">
        <f>SUM(I13:I13)</f>
        <v>0</v>
      </c>
      <c r="J12" s="224">
        <f>H12+I12</f>
        <v>0</v>
      </c>
      <c r="K12" s="225"/>
      <c r="L12" s="224">
        <f>SUM(L13:L13)</f>
        <v>2.6764999999999999</v>
      </c>
      <c r="M12" s="225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2"/>
      <c r="Z12" s="239"/>
      <c r="AA12" s="239"/>
      <c r="AB12" s="239"/>
      <c r="AC12" s="239"/>
      <c r="AD12" s="239"/>
      <c r="AE12" s="239"/>
      <c r="AF12" s="239"/>
      <c r="AG12" s="239"/>
      <c r="AH12" s="239"/>
      <c r="AI12" s="231">
        <f>SUM(Z13:Z13)</f>
        <v>0</v>
      </c>
      <c r="AJ12" s="231">
        <f>SUM(AA13:AA13)</f>
        <v>0</v>
      </c>
      <c r="AK12" s="231">
        <f>SUM(AB13:AB13)</f>
        <v>0</v>
      </c>
      <c r="AL12" s="239"/>
      <c r="AM12" s="239"/>
      <c r="AN12" s="239"/>
      <c r="AO12" s="239"/>
      <c r="AP12" s="239"/>
      <c r="AQ12" s="239"/>
      <c r="AR12" s="239"/>
      <c r="AS12" s="239"/>
      <c r="AT12" s="239"/>
      <c r="AU12" s="239"/>
      <c r="AV12" s="239"/>
    </row>
    <row r="13" spans="1:48" x14ac:dyDescent="0.2">
      <c r="A13" s="226" t="s">
        <v>542</v>
      </c>
      <c r="B13" s="226"/>
      <c r="C13" s="226" t="s">
        <v>141</v>
      </c>
      <c r="D13" s="226" t="s">
        <v>142</v>
      </c>
      <c r="E13" s="226" t="s">
        <v>143</v>
      </c>
      <c r="F13" s="227">
        <v>1.06</v>
      </c>
      <c r="G13" s="227">
        <v>0</v>
      </c>
      <c r="H13" s="227">
        <f>F13*AE13</f>
        <v>0</v>
      </c>
      <c r="I13" s="227">
        <f>J13-H13</f>
        <v>0</v>
      </c>
      <c r="J13" s="227">
        <f>F13*G13</f>
        <v>0</v>
      </c>
      <c r="K13" s="227">
        <v>2.5249999999999999</v>
      </c>
      <c r="L13" s="227">
        <f>F13*K13</f>
        <v>2.6764999999999999</v>
      </c>
      <c r="M13" s="228" t="s">
        <v>543</v>
      </c>
      <c r="N13" s="239"/>
      <c r="O13" s="239"/>
      <c r="P13" s="259">
        <f>IF(AG13="5",J13,0)</f>
        <v>0</v>
      </c>
      <c r="Q13" s="239"/>
      <c r="R13" s="259">
        <f>IF(AG13="1",H13,0)</f>
        <v>0</v>
      </c>
      <c r="S13" s="259">
        <f>IF(AG13="1",I13,0)</f>
        <v>0</v>
      </c>
      <c r="T13" s="259">
        <f>IF(AG13="7",H13,0)</f>
        <v>0</v>
      </c>
      <c r="U13" s="259">
        <f>IF(AG13="7",I13,0)</f>
        <v>0</v>
      </c>
      <c r="V13" s="259">
        <f>IF(AG13="2",H13,0)</f>
        <v>0</v>
      </c>
      <c r="W13" s="259">
        <f>IF(AG13="2",I13,0)</f>
        <v>0</v>
      </c>
      <c r="X13" s="259">
        <f>IF(AG13="0",J13,0)</f>
        <v>0</v>
      </c>
      <c r="Y13" s="232"/>
      <c r="Z13" s="227">
        <f>IF(AD13=0,J13,0)</f>
        <v>0</v>
      </c>
      <c r="AA13" s="227">
        <f>IF(AD13=15,J13,0)</f>
        <v>0</v>
      </c>
      <c r="AB13" s="227">
        <f>IF(AD13=21,J13,0)</f>
        <v>0</v>
      </c>
      <c r="AC13" s="239"/>
      <c r="AD13" s="259">
        <v>15</v>
      </c>
      <c r="AE13" s="259">
        <f>G13*0.677815347721823</f>
        <v>0</v>
      </c>
      <c r="AF13" s="259">
        <f>G13*(1-0.677815347721823)</f>
        <v>0</v>
      </c>
      <c r="AG13" s="228" t="s">
        <v>542</v>
      </c>
      <c r="AH13" s="239"/>
      <c r="AI13" s="239"/>
      <c r="AJ13" s="239"/>
      <c r="AK13" s="239"/>
      <c r="AL13" s="239"/>
      <c r="AM13" s="259">
        <f>F13*AE13</f>
        <v>0</v>
      </c>
      <c r="AN13" s="259">
        <f>F13*AF13</f>
        <v>0</v>
      </c>
      <c r="AO13" s="260" t="s">
        <v>650</v>
      </c>
      <c r="AP13" s="260" t="s">
        <v>651</v>
      </c>
      <c r="AQ13" s="232" t="s">
        <v>652</v>
      </c>
      <c r="AR13" s="239"/>
      <c r="AS13" s="259">
        <f>AM13+AN13</f>
        <v>0</v>
      </c>
      <c r="AT13" s="259">
        <f>G13/(100-AU13)*100</f>
        <v>0</v>
      </c>
      <c r="AU13" s="259">
        <v>0</v>
      </c>
      <c r="AV13" s="259">
        <f>L13</f>
        <v>2.6764999999999999</v>
      </c>
    </row>
    <row r="14" spans="1:48" x14ac:dyDescent="0.2">
      <c r="A14" s="229"/>
      <c r="B14" s="230"/>
      <c r="C14" s="230" t="s">
        <v>94</v>
      </c>
      <c r="D14" s="230" t="s">
        <v>544</v>
      </c>
      <c r="E14" s="229" t="s">
        <v>517</v>
      </c>
      <c r="F14" s="229" t="s">
        <v>517</v>
      </c>
      <c r="G14" s="229" t="s">
        <v>517</v>
      </c>
      <c r="H14" s="231">
        <f>SUM(H15:H20)</f>
        <v>0</v>
      </c>
      <c r="I14" s="231">
        <f>SUM(I15:I20)</f>
        <v>0</v>
      </c>
      <c r="J14" s="231">
        <f>H14+I14</f>
        <v>0</v>
      </c>
      <c r="K14" s="232"/>
      <c r="L14" s="231">
        <f>SUM(L15:L20)</f>
        <v>0.10447500000000001</v>
      </c>
      <c r="M14" s="232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2"/>
      <c r="Z14" s="239"/>
      <c r="AA14" s="239"/>
      <c r="AB14" s="239"/>
      <c r="AC14" s="239"/>
      <c r="AD14" s="239"/>
      <c r="AE14" s="239"/>
      <c r="AF14" s="239"/>
      <c r="AG14" s="239"/>
      <c r="AH14" s="239"/>
      <c r="AI14" s="231">
        <f>SUM(Z15:Z20)</f>
        <v>0</v>
      </c>
      <c r="AJ14" s="231">
        <f>SUM(AA15:AA20)</f>
        <v>0</v>
      </c>
      <c r="AK14" s="231">
        <f>SUM(AB15:AB20)</f>
        <v>0</v>
      </c>
      <c r="AL14" s="239"/>
      <c r="AM14" s="239"/>
      <c r="AN14" s="239"/>
      <c r="AO14" s="239"/>
      <c r="AP14" s="239"/>
      <c r="AQ14" s="239"/>
      <c r="AR14" s="239"/>
      <c r="AS14" s="239"/>
      <c r="AT14" s="239"/>
      <c r="AU14" s="239"/>
      <c r="AV14" s="239"/>
    </row>
    <row r="15" spans="1:48" x14ac:dyDescent="0.2">
      <c r="A15" s="226" t="s">
        <v>545</v>
      </c>
      <c r="B15" s="226"/>
      <c r="C15" s="226" t="s">
        <v>321</v>
      </c>
      <c r="D15" s="226" t="s">
        <v>322</v>
      </c>
      <c r="E15" s="226" t="s">
        <v>146</v>
      </c>
      <c r="F15" s="227">
        <v>20.399999999999999</v>
      </c>
      <c r="G15" s="227">
        <v>0</v>
      </c>
      <c r="H15" s="227">
        <f t="shared" ref="H15:H20" si="0">F15*AE15</f>
        <v>0</v>
      </c>
      <c r="I15" s="227">
        <f t="shared" ref="I15:I20" si="1">J15-H15</f>
        <v>0</v>
      </c>
      <c r="J15" s="227">
        <f t="shared" ref="J15:J20" si="2">F15*G15</f>
        <v>0</v>
      </c>
      <c r="K15" s="227">
        <v>3.2000000000000003E-4</v>
      </c>
      <c r="L15" s="227">
        <f t="shared" ref="L15:L20" si="3">F15*K15</f>
        <v>6.5279999999999999E-3</v>
      </c>
      <c r="M15" s="228" t="s">
        <v>543</v>
      </c>
      <c r="N15" s="239"/>
      <c r="O15" s="239"/>
      <c r="P15" s="259">
        <f t="shared" ref="P15:P20" si="4">IF(AG15="5",J15,0)</f>
        <v>0</v>
      </c>
      <c r="Q15" s="239"/>
      <c r="R15" s="259">
        <f t="shared" ref="R15:R20" si="5">IF(AG15="1",H15,0)</f>
        <v>0</v>
      </c>
      <c r="S15" s="259">
        <f t="shared" ref="S15:S20" si="6">IF(AG15="1",I15,0)</f>
        <v>0</v>
      </c>
      <c r="T15" s="259">
        <f t="shared" ref="T15:T20" si="7">IF(AG15="7",H15,0)</f>
        <v>0</v>
      </c>
      <c r="U15" s="259">
        <f t="shared" ref="U15:U20" si="8">IF(AG15="7",I15,0)</f>
        <v>0</v>
      </c>
      <c r="V15" s="259">
        <f t="shared" ref="V15:V20" si="9">IF(AG15="2",H15,0)</f>
        <v>0</v>
      </c>
      <c r="W15" s="259">
        <f t="shared" ref="W15:W20" si="10">IF(AG15="2",I15,0)</f>
        <v>0</v>
      </c>
      <c r="X15" s="259">
        <f t="shared" ref="X15:X20" si="11">IF(AG15="0",J15,0)</f>
        <v>0</v>
      </c>
      <c r="Y15" s="232"/>
      <c r="Z15" s="227">
        <f t="shared" ref="Z15:Z20" si="12">IF(AD15=0,J15,0)</f>
        <v>0</v>
      </c>
      <c r="AA15" s="227">
        <f t="shared" ref="AA15:AA20" si="13">IF(AD15=15,J15,0)</f>
        <v>0</v>
      </c>
      <c r="AB15" s="227">
        <f t="shared" ref="AB15:AB20" si="14">IF(AD15=21,J15,0)</f>
        <v>0</v>
      </c>
      <c r="AC15" s="239"/>
      <c r="AD15" s="259">
        <v>15</v>
      </c>
      <c r="AE15" s="259">
        <f>G15*0.0809375</f>
        <v>0</v>
      </c>
      <c r="AF15" s="259">
        <f>G15*(1-0.0809375)</f>
        <v>0</v>
      </c>
      <c r="AG15" s="228" t="s">
        <v>555</v>
      </c>
      <c r="AH15" s="239"/>
      <c r="AI15" s="239"/>
      <c r="AJ15" s="239"/>
      <c r="AK15" s="239"/>
      <c r="AL15" s="239"/>
      <c r="AM15" s="259">
        <f t="shared" ref="AM15:AM20" si="15">F15*AE15</f>
        <v>0</v>
      </c>
      <c r="AN15" s="259">
        <f t="shared" ref="AN15:AN20" si="16">F15*AF15</f>
        <v>0</v>
      </c>
      <c r="AO15" s="260" t="s">
        <v>653</v>
      </c>
      <c r="AP15" s="260" t="s">
        <v>654</v>
      </c>
      <c r="AQ15" s="232" t="s">
        <v>652</v>
      </c>
      <c r="AR15" s="239"/>
      <c r="AS15" s="259">
        <f t="shared" ref="AS15:AS20" si="17">AM15+AN15</f>
        <v>0</v>
      </c>
      <c r="AT15" s="259">
        <f t="shared" ref="AT15:AT20" si="18">G15/(100-AU15)*100</f>
        <v>0</v>
      </c>
      <c r="AU15" s="259">
        <v>0</v>
      </c>
      <c r="AV15" s="259">
        <f t="shared" ref="AV15:AV20" si="19">L15</f>
        <v>6.5279999999999999E-3</v>
      </c>
    </row>
    <row r="16" spans="1:48" x14ac:dyDescent="0.2">
      <c r="A16" s="226" t="s">
        <v>66</v>
      </c>
      <c r="B16" s="226"/>
      <c r="C16" s="226" t="s">
        <v>324</v>
      </c>
      <c r="D16" s="226" t="s">
        <v>325</v>
      </c>
      <c r="E16" s="226" t="s">
        <v>146</v>
      </c>
      <c r="F16" s="227">
        <v>20.399999999999999</v>
      </c>
      <c r="G16" s="227">
        <v>0</v>
      </c>
      <c r="H16" s="227">
        <f t="shared" si="0"/>
        <v>0</v>
      </c>
      <c r="I16" s="227">
        <f t="shared" si="1"/>
        <v>0</v>
      </c>
      <c r="J16" s="227">
        <f t="shared" si="2"/>
        <v>0</v>
      </c>
      <c r="K16" s="227">
        <v>0</v>
      </c>
      <c r="L16" s="227">
        <f t="shared" si="3"/>
        <v>0</v>
      </c>
      <c r="M16" s="228" t="s">
        <v>543</v>
      </c>
      <c r="N16" s="239"/>
      <c r="O16" s="239"/>
      <c r="P16" s="259">
        <f t="shared" si="4"/>
        <v>0</v>
      </c>
      <c r="Q16" s="239"/>
      <c r="R16" s="259">
        <f t="shared" si="5"/>
        <v>0</v>
      </c>
      <c r="S16" s="259">
        <f t="shared" si="6"/>
        <v>0</v>
      </c>
      <c r="T16" s="259">
        <f t="shared" si="7"/>
        <v>0</v>
      </c>
      <c r="U16" s="259">
        <f t="shared" si="8"/>
        <v>0</v>
      </c>
      <c r="V16" s="259">
        <f t="shared" si="9"/>
        <v>0</v>
      </c>
      <c r="W16" s="259">
        <f t="shared" si="10"/>
        <v>0</v>
      </c>
      <c r="X16" s="259">
        <f t="shared" si="11"/>
        <v>0</v>
      </c>
      <c r="Y16" s="232"/>
      <c r="Z16" s="227">
        <f t="shared" si="12"/>
        <v>0</v>
      </c>
      <c r="AA16" s="227">
        <f t="shared" si="13"/>
        <v>0</v>
      </c>
      <c r="AB16" s="227">
        <f t="shared" si="14"/>
        <v>0</v>
      </c>
      <c r="AC16" s="239"/>
      <c r="AD16" s="259">
        <v>15</v>
      </c>
      <c r="AE16" s="259">
        <f>G16*0.0681330472103004</f>
        <v>0</v>
      </c>
      <c r="AF16" s="259">
        <f>G16*(1-0.0681330472103004)</f>
        <v>0</v>
      </c>
      <c r="AG16" s="228" t="s">
        <v>555</v>
      </c>
      <c r="AH16" s="239"/>
      <c r="AI16" s="239"/>
      <c r="AJ16" s="239"/>
      <c r="AK16" s="239"/>
      <c r="AL16" s="239"/>
      <c r="AM16" s="259">
        <f t="shared" si="15"/>
        <v>0</v>
      </c>
      <c r="AN16" s="259">
        <f t="shared" si="16"/>
        <v>0</v>
      </c>
      <c r="AO16" s="260" t="s">
        <v>653</v>
      </c>
      <c r="AP16" s="260" t="s">
        <v>654</v>
      </c>
      <c r="AQ16" s="232" t="s">
        <v>652</v>
      </c>
      <c r="AR16" s="239"/>
      <c r="AS16" s="259">
        <f t="shared" si="17"/>
        <v>0</v>
      </c>
      <c r="AT16" s="259">
        <f t="shared" si="18"/>
        <v>0</v>
      </c>
      <c r="AU16" s="259">
        <v>0</v>
      </c>
      <c r="AV16" s="259">
        <f t="shared" si="19"/>
        <v>0</v>
      </c>
    </row>
    <row r="17" spans="1:48" x14ac:dyDescent="0.2">
      <c r="A17" s="226" t="s">
        <v>546</v>
      </c>
      <c r="B17" s="226"/>
      <c r="C17" s="226" t="s">
        <v>547</v>
      </c>
      <c r="D17" s="226" t="s">
        <v>548</v>
      </c>
      <c r="E17" s="226" t="s">
        <v>146</v>
      </c>
      <c r="F17" s="227">
        <v>4.5</v>
      </c>
      <c r="G17" s="227">
        <v>0</v>
      </c>
      <c r="H17" s="227">
        <f t="shared" si="0"/>
        <v>0</v>
      </c>
      <c r="I17" s="227">
        <f t="shared" si="1"/>
        <v>0</v>
      </c>
      <c r="J17" s="227">
        <f t="shared" si="2"/>
        <v>0</v>
      </c>
      <c r="K17" s="227">
        <v>1.4999999999999999E-4</v>
      </c>
      <c r="L17" s="227">
        <f t="shared" si="3"/>
        <v>6.7499999999999993E-4</v>
      </c>
      <c r="M17" s="228" t="s">
        <v>543</v>
      </c>
      <c r="N17" s="239"/>
      <c r="O17" s="239"/>
      <c r="P17" s="259">
        <f t="shared" si="4"/>
        <v>0</v>
      </c>
      <c r="Q17" s="239"/>
      <c r="R17" s="259">
        <f t="shared" si="5"/>
        <v>0</v>
      </c>
      <c r="S17" s="259">
        <f t="shared" si="6"/>
        <v>0</v>
      </c>
      <c r="T17" s="259">
        <f t="shared" si="7"/>
        <v>0</v>
      </c>
      <c r="U17" s="259">
        <f t="shared" si="8"/>
        <v>0</v>
      </c>
      <c r="V17" s="259">
        <f t="shared" si="9"/>
        <v>0</v>
      </c>
      <c r="W17" s="259">
        <f t="shared" si="10"/>
        <v>0</v>
      </c>
      <c r="X17" s="259">
        <f t="shared" si="11"/>
        <v>0</v>
      </c>
      <c r="Y17" s="232"/>
      <c r="Z17" s="227">
        <f t="shared" si="12"/>
        <v>0</v>
      </c>
      <c r="AA17" s="227">
        <f t="shared" si="13"/>
        <v>0</v>
      </c>
      <c r="AB17" s="227">
        <f t="shared" si="14"/>
        <v>0</v>
      </c>
      <c r="AC17" s="239"/>
      <c r="AD17" s="259">
        <v>15</v>
      </c>
      <c r="AE17" s="259">
        <f>G17*0.750201612903226</f>
        <v>0</v>
      </c>
      <c r="AF17" s="259">
        <f>G17*(1-0.750201612903226)</f>
        <v>0</v>
      </c>
      <c r="AG17" s="228" t="s">
        <v>555</v>
      </c>
      <c r="AH17" s="239"/>
      <c r="AI17" s="239"/>
      <c r="AJ17" s="239"/>
      <c r="AK17" s="239"/>
      <c r="AL17" s="239"/>
      <c r="AM17" s="259">
        <f t="shared" si="15"/>
        <v>0</v>
      </c>
      <c r="AN17" s="259">
        <f t="shared" si="16"/>
        <v>0</v>
      </c>
      <c r="AO17" s="260" t="s">
        <v>653</v>
      </c>
      <c r="AP17" s="260" t="s">
        <v>654</v>
      </c>
      <c r="AQ17" s="232" t="s">
        <v>652</v>
      </c>
      <c r="AR17" s="239"/>
      <c r="AS17" s="259">
        <f t="shared" si="17"/>
        <v>0</v>
      </c>
      <c r="AT17" s="259">
        <f t="shared" si="18"/>
        <v>0</v>
      </c>
      <c r="AU17" s="259">
        <v>0</v>
      </c>
      <c r="AV17" s="259">
        <f t="shared" si="19"/>
        <v>6.7499999999999993E-4</v>
      </c>
    </row>
    <row r="18" spans="1:48" x14ac:dyDescent="0.2">
      <c r="A18" s="226" t="s">
        <v>549</v>
      </c>
      <c r="B18" s="226"/>
      <c r="C18" s="226" t="s">
        <v>550</v>
      </c>
      <c r="D18" s="226" t="s">
        <v>551</v>
      </c>
      <c r="E18" s="226" t="s">
        <v>131</v>
      </c>
      <c r="F18" s="227">
        <v>19.3</v>
      </c>
      <c r="G18" s="227">
        <v>0</v>
      </c>
      <c r="H18" s="227">
        <f t="shared" si="0"/>
        <v>0</v>
      </c>
      <c r="I18" s="227">
        <f t="shared" si="1"/>
        <v>0</v>
      </c>
      <c r="J18" s="227">
        <f t="shared" si="2"/>
        <v>0</v>
      </c>
      <c r="K18" s="227">
        <v>0</v>
      </c>
      <c r="L18" s="227">
        <f t="shared" si="3"/>
        <v>0</v>
      </c>
      <c r="M18" s="228" t="s">
        <v>543</v>
      </c>
      <c r="N18" s="239"/>
      <c r="O18" s="239"/>
      <c r="P18" s="259">
        <f t="shared" si="4"/>
        <v>0</v>
      </c>
      <c r="Q18" s="239"/>
      <c r="R18" s="259">
        <f t="shared" si="5"/>
        <v>0</v>
      </c>
      <c r="S18" s="259">
        <f t="shared" si="6"/>
        <v>0</v>
      </c>
      <c r="T18" s="259">
        <f t="shared" si="7"/>
        <v>0</v>
      </c>
      <c r="U18" s="259">
        <f t="shared" si="8"/>
        <v>0</v>
      </c>
      <c r="V18" s="259">
        <f t="shared" si="9"/>
        <v>0</v>
      </c>
      <c r="W18" s="259">
        <f t="shared" si="10"/>
        <v>0</v>
      </c>
      <c r="X18" s="259">
        <f t="shared" si="11"/>
        <v>0</v>
      </c>
      <c r="Y18" s="232"/>
      <c r="Z18" s="227">
        <f t="shared" si="12"/>
        <v>0</v>
      </c>
      <c r="AA18" s="227">
        <f t="shared" si="13"/>
        <v>0</v>
      </c>
      <c r="AB18" s="227">
        <f t="shared" si="14"/>
        <v>0</v>
      </c>
      <c r="AC18" s="239"/>
      <c r="AD18" s="259">
        <v>15</v>
      </c>
      <c r="AE18" s="259">
        <f>G18*0</f>
        <v>0</v>
      </c>
      <c r="AF18" s="259">
        <f>G18*(1-0)</f>
        <v>0</v>
      </c>
      <c r="AG18" s="228" t="s">
        <v>555</v>
      </c>
      <c r="AH18" s="239"/>
      <c r="AI18" s="239"/>
      <c r="AJ18" s="239"/>
      <c r="AK18" s="239"/>
      <c r="AL18" s="239"/>
      <c r="AM18" s="259">
        <f t="shared" si="15"/>
        <v>0</v>
      </c>
      <c r="AN18" s="259">
        <f t="shared" si="16"/>
        <v>0</v>
      </c>
      <c r="AO18" s="260" t="s">
        <v>653</v>
      </c>
      <c r="AP18" s="260" t="s">
        <v>654</v>
      </c>
      <c r="AQ18" s="232" t="s">
        <v>652</v>
      </c>
      <c r="AR18" s="239"/>
      <c r="AS18" s="259">
        <f t="shared" si="17"/>
        <v>0</v>
      </c>
      <c r="AT18" s="259">
        <f t="shared" si="18"/>
        <v>0</v>
      </c>
      <c r="AU18" s="259">
        <v>0</v>
      </c>
      <c r="AV18" s="259">
        <f t="shared" si="19"/>
        <v>0</v>
      </c>
    </row>
    <row r="19" spans="1:48" x14ac:dyDescent="0.2">
      <c r="A19" s="226" t="s">
        <v>552</v>
      </c>
      <c r="B19" s="226"/>
      <c r="C19" s="226" t="s">
        <v>553</v>
      </c>
      <c r="D19" s="226" t="s">
        <v>554</v>
      </c>
      <c r="E19" s="226" t="s">
        <v>131</v>
      </c>
      <c r="F19" s="227">
        <v>19.3</v>
      </c>
      <c r="G19" s="227">
        <v>0</v>
      </c>
      <c r="H19" s="227">
        <f t="shared" si="0"/>
        <v>0</v>
      </c>
      <c r="I19" s="227">
        <f t="shared" si="1"/>
        <v>0</v>
      </c>
      <c r="J19" s="227">
        <f t="shared" si="2"/>
        <v>0</v>
      </c>
      <c r="K19" s="227">
        <v>0</v>
      </c>
      <c r="L19" s="227">
        <f t="shared" si="3"/>
        <v>0</v>
      </c>
      <c r="M19" s="228" t="s">
        <v>543</v>
      </c>
      <c r="N19" s="239"/>
      <c r="O19" s="239"/>
      <c r="P19" s="259">
        <f t="shared" si="4"/>
        <v>0</v>
      </c>
      <c r="Q19" s="239"/>
      <c r="R19" s="259">
        <f t="shared" si="5"/>
        <v>0</v>
      </c>
      <c r="S19" s="259">
        <f t="shared" si="6"/>
        <v>0</v>
      </c>
      <c r="T19" s="259">
        <f t="shared" si="7"/>
        <v>0</v>
      </c>
      <c r="U19" s="259">
        <f t="shared" si="8"/>
        <v>0</v>
      </c>
      <c r="V19" s="259">
        <f t="shared" si="9"/>
        <v>0</v>
      </c>
      <c r="W19" s="259">
        <f t="shared" si="10"/>
        <v>0</v>
      </c>
      <c r="X19" s="259">
        <f t="shared" si="11"/>
        <v>0</v>
      </c>
      <c r="Y19" s="232"/>
      <c r="Z19" s="227">
        <f t="shared" si="12"/>
        <v>0</v>
      </c>
      <c r="AA19" s="227">
        <f t="shared" si="13"/>
        <v>0</v>
      </c>
      <c r="AB19" s="227">
        <f t="shared" si="14"/>
        <v>0</v>
      </c>
      <c r="AC19" s="239"/>
      <c r="AD19" s="259">
        <v>15</v>
      </c>
      <c r="AE19" s="259">
        <f>G19*0</f>
        <v>0</v>
      </c>
      <c r="AF19" s="259">
        <f>G19*(1-0)</f>
        <v>0</v>
      </c>
      <c r="AG19" s="228" t="s">
        <v>555</v>
      </c>
      <c r="AH19" s="239"/>
      <c r="AI19" s="239"/>
      <c r="AJ19" s="239"/>
      <c r="AK19" s="239"/>
      <c r="AL19" s="239"/>
      <c r="AM19" s="259">
        <f t="shared" si="15"/>
        <v>0</v>
      </c>
      <c r="AN19" s="259">
        <f t="shared" si="16"/>
        <v>0</v>
      </c>
      <c r="AO19" s="260" t="s">
        <v>653</v>
      </c>
      <c r="AP19" s="260" t="s">
        <v>654</v>
      </c>
      <c r="AQ19" s="232" t="s">
        <v>652</v>
      </c>
      <c r="AR19" s="239"/>
      <c r="AS19" s="259">
        <f t="shared" si="17"/>
        <v>0</v>
      </c>
      <c r="AT19" s="259">
        <f t="shared" si="18"/>
        <v>0</v>
      </c>
      <c r="AU19" s="259">
        <v>0</v>
      </c>
      <c r="AV19" s="259">
        <f t="shared" si="19"/>
        <v>0</v>
      </c>
    </row>
    <row r="20" spans="1:48" x14ac:dyDescent="0.2">
      <c r="A20" s="226" t="s">
        <v>555</v>
      </c>
      <c r="B20" s="226"/>
      <c r="C20" s="226" t="s">
        <v>556</v>
      </c>
      <c r="D20" s="226" t="s">
        <v>557</v>
      </c>
      <c r="E20" s="226" t="s">
        <v>131</v>
      </c>
      <c r="F20" s="227">
        <v>19.3</v>
      </c>
      <c r="G20" s="227">
        <v>0</v>
      </c>
      <c r="H20" s="227">
        <f t="shared" si="0"/>
        <v>0</v>
      </c>
      <c r="I20" s="227">
        <f t="shared" si="1"/>
        <v>0</v>
      </c>
      <c r="J20" s="227">
        <f t="shared" si="2"/>
        <v>0</v>
      </c>
      <c r="K20" s="227">
        <v>5.0400000000000002E-3</v>
      </c>
      <c r="L20" s="227">
        <f t="shared" si="3"/>
        <v>9.7272000000000011E-2</v>
      </c>
      <c r="M20" s="228" t="s">
        <v>543</v>
      </c>
      <c r="N20" s="239"/>
      <c r="O20" s="239"/>
      <c r="P20" s="259">
        <f t="shared" si="4"/>
        <v>0</v>
      </c>
      <c r="Q20" s="239"/>
      <c r="R20" s="259">
        <f t="shared" si="5"/>
        <v>0</v>
      </c>
      <c r="S20" s="259">
        <f t="shared" si="6"/>
        <v>0</v>
      </c>
      <c r="T20" s="259">
        <f t="shared" si="7"/>
        <v>0</v>
      </c>
      <c r="U20" s="259">
        <f t="shared" si="8"/>
        <v>0</v>
      </c>
      <c r="V20" s="259">
        <f t="shared" si="9"/>
        <v>0</v>
      </c>
      <c r="W20" s="259">
        <f t="shared" si="10"/>
        <v>0</v>
      </c>
      <c r="X20" s="259">
        <f t="shared" si="11"/>
        <v>0</v>
      </c>
      <c r="Y20" s="232"/>
      <c r="Z20" s="227">
        <f t="shared" si="12"/>
        <v>0</v>
      </c>
      <c r="AA20" s="227">
        <f t="shared" si="13"/>
        <v>0</v>
      </c>
      <c r="AB20" s="227">
        <f t="shared" si="14"/>
        <v>0</v>
      </c>
      <c r="AC20" s="239"/>
      <c r="AD20" s="259">
        <v>15</v>
      </c>
      <c r="AE20" s="259">
        <f>G20*0.185127206781519</f>
        <v>0</v>
      </c>
      <c r="AF20" s="259">
        <f>G20*(1-0.185127206781519)</f>
        <v>0</v>
      </c>
      <c r="AG20" s="228" t="s">
        <v>555</v>
      </c>
      <c r="AH20" s="239"/>
      <c r="AI20" s="239"/>
      <c r="AJ20" s="239"/>
      <c r="AK20" s="239"/>
      <c r="AL20" s="239"/>
      <c r="AM20" s="259">
        <f t="shared" si="15"/>
        <v>0</v>
      </c>
      <c r="AN20" s="259">
        <f t="shared" si="16"/>
        <v>0</v>
      </c>
      <c r="AO20" s="260" t="s">
        <v>653</v>
      </c>
      <c r="AP20" s="260" t="s">
        <v>654</v>
      </c>
      <c r="AQ20" s="232" t="s">
        <v>652</v>
      </c>
      <c r="AR20" s="239"/>
      <c r="AS20" s="259">
        <f t="shared" si="17"/>
        <v>0</v>
      </c>
      <c r="AT20" s="259">
        <f t="shared" si="18"/>
        <v>0</v>
      </c>
      <c r="AU20" s="259">
        <v>0</v>
      </c>
      <c r="AV20" s="259">
        <f t="shared" si="19"/>
        <v>9.7272000000000011E-2</v>
      </c>
    </row>
    <row r="21" spans="1:48" x14ac:dyDescent="0.2">
      <c r="A21" s="229"/>
      <c r="B21" s="230"/>
      <c r="C21" s="230" t="s">
        <v>102</v>
      </c>
      <c r="D21" s="230" t="s">
        <v>103</v>
      </c>
      <c r="E21" s="229" t="s">
        <v>517</v>
      </c>
      <c r="F21" s="229" t="s">
        <v>517</v>
      </c>
      <c r="G21" s="229" t="s">
        <v>517</v>
      </c>
      <c r="H21" s="231">
        <f>SUM(H22:H26)</f>
        <v>0</v>
      </c>
      <c r="I21" s="231">
        <f>SUM(I22:I26)</f>
        <v>0</v>
      </c>
      <c r="J21" s="231">
        <f>H21+I21</f>
        <v>0</v>
      </c>
      <c r="K21" s="232"/>
      <c r="L21" s="231">
        <f>SUM(L22:L26)</f>
        <v>2.3438000000000001E-2</v>
      </c>
      <c r="M21" s="232"/>
      <c r="N21" s="239"/>
      <c r="O21" s="239"/>
      <c r="P21" s="239"/>
      <c r="Q21" s="239"/>
      <c r="R21" s="239"/>
      <c r="S21" s="239"/>
      <c r="T21" s="239"/>
      <c r="U21" s="239"/>
      <c r="V21" s="239"/>
      <c r="W21" s="239"/>
      <c r="X21" s="239"/>
      <c r="Y21" s="232"/>
      <c r="Z21" s="239"/>
      <c r="AA21" s="239"/>
      <c r="AB21" s="239"/>
      <c r="AC21" s="239"/>
      <c r="AD21" s="239"/>
      <c r="AE21" s="239"/>
      <c r="AF21" s="239"/>
      <c r="AG21" s="239"/>
      <c r="AH21" s="239"/>
      <c r="AI21" s="231">
        <f>SUM(Z22:Z26)</f>
        <v>0</v>
      </c>
      <c r="AJ21" s="231">
        <f>SUM(AA22:AA26)</f>
        <v>0</v>
      </c>
      <c r="AK21" s="231">
        <f>SUM(AB22:AB26)</f>
        <v>0</v>
      </c>
      <c r="AL21" s="239"/>
      <c r="AM21" s="239"/>
      <c r="AN21" s="239"/>
      <c r="AO21" s="239"/>
      <c r="AP21" s="239"/>
      <c r="AQ21" s="239"/>
      <c r="AR21" s="239"/>
      <c r="AS21" s="239"/>
      <c r="AT21" s="239"/>
      <c r="AU21" s="239"/>
      <c r="AV21" s="239"/>
    </row>
    <row r="22" spans="1:48" x14ac:dyDescent="0.2">
      <c r="A22" s="226" t="s">
        <v>558</v>
      </c>
      <c r="B22" s="226"/>
      <c r="C22" s="226" t="s">
        <v>381</v>
      </c>
      <c r="D22" s="226" t="s">
        <v>382</v>
      </c>
      <c r="E22" s="226" t="s">
        <v>131</v>
      </c>
      <c r="F22" s="227">
        <v>56.5</v>
      </c>
      <c r="G22" s="227">
        <v>0</v>
      </c>
      <c r="H22" s="227">
        <f>F22*AE22</f>
        <v>0</v>
      </c>
      <c r="I22" s="227">
        <f>J22-H22</f>
        <v>0</v>
      </c>
      <c r="J22" s="227">
        <f>F22*G22</f>
        <v>0</v>
      </c>
      <c r="K22" s="227">
        <v>6.9999999999999994E-5</v>
      </c>
      <c r="L22" s="227">
        <f>F22*K22</f>
        <v>3.9549999999999993E-3</v>
      </c>
      <c r="M22" s="228" t="s">
        <v>543</v>
      </c>
      <c r="N22" s="239"/>
      <c r="O22" s="239"/>
      <c r="P22" s="259">
        <f>IF(AG22="5",J22,0)</f>
        <v>0</v>
      </c>
      <c r="Q22" s="239"/>
      <c r="R22" s="259">
        <f>IF(AG22="1",H22,0)</f>
        <v>0</v>
      </c>
      <c r="S22" s="259">
        <f>IF(AG22="1",I22,0)</f>
        <v>0</v>
      </c>
      <c r="T22" s="259">
        <f>IF(AG22="7",H22,0)</f>
        <v>0</v>
      </c>
      <c r="U22" s="259">
        <f>IF(AG22="7",I22,0)</f>
        <v>0</v>
      </c>
      <c r="V22" s="259">
        <f>IF(AG22="2",H22,0)</f>
        <v>0</v>
      </c>
      <c r="W22" s="259">
        <f>IF(AG22="2",I22,0)</f>
        <v>0</v>
      </c>
      <c r="X22" s="259">
        <f>IF(AG22="0",J22,0)</f>
        <v>0</v>
      </c>
      <c r="Y22" s="232"/>
      <c r="Z22" s="227">
        <f>IF(AD22=0,J22,0)</f>
        <v>0</v>
      </c>
      <c r="AA22" s="227">
        <f>IF(AD22=15,J22,0)</f>
        <v>0</v>
      </c>
      <c r="AB22" s="227">
        <f>IF(AD22=21,J22,0)</f>
        <v>0</v>
      </c>
      <c r="AC22" s="239"/>
      <c r="AD22" s="259">
        <v>15</v>
      </c>
      <c r="AE22" s="259">
        <f>G22*0.203108808290155</f>
        <v>0</v>
      </c>
      <c r="AF22" s="259">
        <f>G22*(1-0.203108808290155)</f>
        <v>0</v>
      </c>
      <c r="AG22" s="228" t="s">
        <v>555</v>
      </c>
      <c r="AH22" s="239"/>
      <c r="AI22" s="239"/>
      <c r="AJ22" s="239"/>
      <c r="AK22" s="239"/>
      <c r="AL22" s="239"/>
      <c r="AM22" s="259">
        <f>F22*AE22</f>
        <v>0</v>
      </c>
      <c r="AN22" s="259">
        <f>F22*AF22</f>
        <v>0</v>
      </c>
      <c r="AO22" s="260" t="s">
        <v>655</v>
      </c>
      <c r="AP22" s="260" t="s">
        <v>656</v>
      </c>
      <c r="AQ22" s="232" t="s">
        <v>652</v>
      </c>
      <c r="AR22" s="239"/>
      <c r="AS22" s="259">
        <f>AM22+AN22</f>
        <v>0</v>
      </c>
      <c r="AT22" s="259">
        <f>G22/(100-AU22)*100</f>
        <v>0</v>
      </c>
      <c r="AU22" s="259">
        <v>0</v>
      </c>
      <c r="AV22" s="259">
        <f>L22</f>
        <v>3.9549999999999993E-3</v>
      </c>
    </row>
    <row r="23" spans="1:48" x14ac:dyDescent="0.2">
      <c r="A23" s="226" t="s">
        <v>72</v>
      </c>
      <c r="B23" s="226"/>
      <c r="C23" s="226" t="s">
        <v>384</v>
      </c>
      <c r="D23" s="226" t="s">
        <v>385</v>
      </c>
      <c r="E23" s="226" t="s">
        <v>131</v>
      </c>
      <c r="F23" s="227">
        <v>56.5</v>
      </c>
      <c r="G23" s="227">
        <v>0</v>
      </c>
      <c r="H23" s="227">
        <f>F23*AE23</f>
        <v>0</v>
      </c>
      <c r="I23" s="227">
        <f>J23-H23</f>
        <v>0</v>
      </c>
      <c r="J23" s="227">
        <f>F23*G23</f>
        <v>0</v>
      </c>
      <c r="K23" s="227">
        <v>1.4999999999999999E-4</v>
      </c>
      <c r="L23" s="227">
        <f>F23*K23</f>
        <v>8.4749999999999999E-3</v>
      </c>
      <c r="M23" s="228" t="s">
        <v>543</v>
      </c>
      <c r="N23" s="239"/>
      <c r="O23" s="239"/>
      <c r="P23" s="259">
        <f>IF(AG23="5",J23,0)</f>
        <v>0</v>
      </c>
      <c r="Q23" s="239"/>
      <c r="R23" s="259">
        <f>IF(AG23="1",H23,0)</f>
        <v>0</v>
      </c>
      <c r="S23" s="259">
        <f>IF(AG23="1",I23,0)</f>
        <v>0</v>
      </c>
      <c r="T23" s="259">
        <f>IF(AG23="7",H23,0)</f>
        <v>0</v>
      </c>
      <c r="U23" s="259">
        <f>IF(AG23="7",I23,0)</f>
        <v>0</v>
      </c>
      <c r="V23" s="259">
        <f>IF(AG23="2",H23,0)</f>
        <v>0</v>
      </c>
      <c r="W23" s="259">
        <f>IF(AG23="2",I23,0)</f>
        <v>0</v>
      </c>
      <c r="X23" s="259">
        <f>IF(AG23="0",J23,0)</f>
        <v>0</v>
      </c>
      <c r="Y23" s="232"/>
      <c r="Z23" s="227">
        <f>IF(AD23=0,J23,0)</f>
        <v>0</v>
      </c>
      <c r="AA23" s="227">
        <f>IF(AD23=15,J23,0)</f>
        <v>0</v>
      </c>
      <c r="AB23" s="227">
        <f>IF(AD23=21,J23,0)</f>
        <v>0</v>
      </c>
      <c r="AC23" s="239"/>
      <c r="AD23" s="259">
        <v>15</v>
      </c>
      <c r="AE23" s="259">
        <f>G23*0.0937853107344633</f>
        <v>0</v>
      </c>
      <c r="AF23" s="259">
        <f>G23*(1-0.0937853107344633)</f>
        <v>0</v>
      </c>
      <c r="AG23" s="228" t="s">
        <v>555</v>
      </c>
      <c r="AH23" s="239"/>
      <c r="AI23" s="239"/>
      <c r="AJ23" s="239"/>
      <c r="AK23" s="239"/>
      <c r="AL23" s="239"/>
      <c r="AM23" s="259">
        <f>F23*AE23</f>
        <v>0</v>
      </c>
      <c r="AN23" s="259">
        <f>F23*AF23</f>
        <v>0</v>
      </c>
      <c r="AO23" s="260" t="s">
        <v>655</v>
      </c>
      <c r="AP23" s="260" t="s">
        <v>656</v>
      </c>
      <c r="AQ23" s="232" t="s">
        <v>652</v>
      </c>
      <c r="AR23" s="239"/>
      <c r="AS23" s="259">
        <f>AM23+AN23</f>
        <v>0</v>
      </c>
      <c r="AT23" s="259">
        <f>G23/(100-AU23)*100</f>
        <v>0</v>
      </c>
      <c r="AU23" s="259">
        <v>0</v>
      </c>
      <c r="AV23" s="259">
        <f>L23</f>
        <v>8.4749999999999999E-3</v>
      </c>
    </row>
    <row r="24" spans="1:48" x14ac:dyDescent="0.2">
      <c r="A24" s="226" t="s">
        <v>559</v>
      </c>
      <c r="B24" s="226"/>
      <c r="C24" s="226" t="s">
        <v>560</v>
      </c>
      <c r="D24" s="226" t="s">
        <v>561</v>
      </c>
      <c r="E24" s="226" t="s">
        <v>131</v>
      </c>
      <c r="F24" s="227">
        <v>56.5</v>
      </c>
      <c r="G24" s="227">
        <v>0</v>
      </c>
      <c r="H24" s="227">
        <f>F24*AE24</f>
        <v>0</v>
      </c>
      <c r="I24" s="227">
        <f>J24-H24</f>
        <v>0</v>
      </c>
      <c r="J24" s="227">
        <f>F24*G24</f>
        <v>0</v>
      </c>
      <c r="K24" s="227">
        <v>0</v>
      </c>
      <c r="L24" s="227">
        <f>F24*K24</f>
        <v>0</v>
      </c>
      <c r="M24" s="228" t="s">
        <v>543</v>
      </c>
      <c r="N24" s="239"/>
      <c r="O24" s="239"/>
      <c r="P24" s="259">
        <f>IF(AG24="5",J24,0)</f>
        <v>0</v>
      </c>
      <c r="Q24" s="239"/>
      <c r="R24" s="259">
        <f>IF(AG24="1",H24,0)</f>
        <v>0</v>
      </c>
      <c r="S24" s="259">
        <f>IF(AG24="1",I24,0)</f>
        <v>0</v>
      </c>
      <c r="T24" s="259">
        <f>IF(AG24="7",H24,0)</f>
        <v>0</v>
      </c>
      <c r="U24" s="259">
        <f>IF(AG24="7",I24,0)</f>
        <v>0</v>
      </c>
      <c r="V24" s="259">
        <f>IF(AG24="2",H24,0)</f>
        <v>0</v>
      </c>
      <c r="W24" s="259">
        <f>IF(AG24="2",I24,0)</f>
        <v>0</v>
      </c>
      <c r="X24" s="259">
        <f>IF(AG24="0",J24,0)</f>
        <v>0</v>
      </c>
      <c r="Y24" s="232"/>
      <c r="Z24" s="227">
        <f>IF(AD24=0,J24,0)</f>
        <v>0</v>
      </c>
      <c r="AA24" s="227">
        <f>IF(AD24=15,J24,0)</f>
        <v>0</v>
      </c>
      <c r="AB24" s="227">
        <f>IF(AD24=21,J24,0)</f>
        <v>0</v>
      </c>
      <c r="AC24" s="239"/>
      <c r="AD24" s="259">
        <v>15</v>
      </c>
      <c r="AE24" s="259">
        <f>G24*0.00329548547653303</f>
        <v>0</v>
      </c>
      <c r="AF24" s="259">
        <f>G24*(1-0.00329548547653303)</f>
        <v>0</v>
      </c>
      <c r="AG24" s="228" t="s">
        <v>555</v>
      </c>
      <c r="AH24" s="239"/>
      <c r="AI24" s="239"/>
      <c r="AJ24" s="239"/>
      <c r="AK24" s="239"/>
      <c r="AL24" s="239"/>
      <c r="AM24" s="259">
        <f>F24*AE24</f>
        <v>0</v>
      </c>
      <c r="AN24" s="259">
        <f>F24*AF24</f>
        <v>0</v>
      </c>
      <c r="AO24" s="260" t="s">
        <v>655</v>
      </c>
      <c r="AP24" s="260" t="s">
        <v>656</v>
      </c>
      <c r="AQ24" s="232" t="s">
        <v>652</v>
      </c>
      <c r="AR24" s="239"/>
      <c r="AS24" s="259">
        <f>AM24+AN24</f>
        <v>0</v>
      </c>
      <c r="AT24" s="259">
        <f>G24/(100-AU24)*100</f>
        <v>0</v>
      </c>
      <c r="AU24" s="259">
        <v>0</v>
      </c>
      <c r="AV24" s="259">
        <f>L24</f>
        <v>0</v>
      </c>
    </row>
    <row r="25" spans="1:48" x14ac:dyDescent="0.2">
      <c r="A25" s="226" t="s">
        <v>562</v>
      </c>
      <c r="B25" s="226"/>
      <c r="C25" s="226" t="s">
        <v>563</v>
      </c>
      <c r="D25" s="226" t="s">
        <v>564</v>
      </c>
      <c r="E25" s="226" t="s">
        <v>131</v>
      </c>
      <c r="F25" s="227">
        <v>25.6</v>
      </c>
      <c r="G25" s="227">
        <v>0</v>
      </c>
      <c r="H25" s="227">
        <f>F25*AE25</f>
        <v>0</v>
      </c>
      <c r="I25" s="227">
        <f>J25-H25</f>
        <v>0</v>
      </c>
      <c r="J25" s="227">
        <f>F25*G25</f>
        <v>0</v>
      </c>
      <c r="K25" s="227">
        <v>3.5E-4</v>
      </c>
      <c r="L25" s="227">
        <f>F25*K25</f>
        <v>8.9600000000000009E-3</v>
      </c>
      <c r="M25" s="228" t="s">
        <v>543</v>
      </c>
      <c r="N25" s="239"/>
      <c r="O25" s="239"/>
      <c r="P25" s="259">
        <f>IF(AG25="5",J25,0)</f>
        <v>0</v>
      </c>
      <c r="Q25" s="239"/>
      <c r="R25" s="259">
        <f>IF(AG25="1",H25,0)</f>
        <v>0</v>
      </c>
      <c r="S25" s="259">
        <f>IF(AG25="1",I25,0)</f>
        <v>0</v>
      </c>
      <c r="T25" s="259">
        <f>IF(AG25="7",H25,0)</f>
        <v>0</v>
      </c>
      <c r="U25" s="259">
        <f>IF(AG25="7",I25,0)</f>
        <v>0</v>
      </c>
      <c r="V25" s="259">
        <f>IF(AG25="2",H25,0)</f>
        <v>0</v>
      </c>
      <c r="W25" s="259">
        <f>IF(AG25="2",I25,0)</f>
        <v>0</v>
      </c>
      <c r="X25" s="259">
        <f>IF(AG25="0",J25,0)</f>
        <v>0</v>
      </c>
      <c r="Y25" s="232"/>
      <c r="Z25" s="227">
        <f>IF(AD25=0,J25,0)</f>
        <v>0</v>
      </c>
      <c r="AA25" s="227">
        <f>IF(AD25=15,J25,0)</f>
        <v>0</v>
      </c>
      <c r="AB25" s="227">
        <f>IF(AD25=21,J25,0)</f>
        <v>0</v>
      </c>
      <c r="AC25" s="239"/>
      <c r="AD25" s="259">
        <v>15</v>
      </c>
      <c r="AE25" s="259">
        <f>G25*0.133351177179094</f>
        <v>0</v>
      </c>
      <c r="AF25" s="259">
        <f>G25*(1-0.133351177179094)</f>
        <v>0</v>
      </c>
      <c r="AG25" s="228" t="s">
        <v>555</v>
      </c>
      <c r="AH25" s="239"/>
      <c r="AI25" s="239"/>
      <c r="AJ25" s="239"/>
      <c r="AK25" s="239"/>
      <c r="AL25" s="239"/>
      <c r="AM25" s="259">
        <f>F25*AE25</f>
        <v>0</v>
      </c>
      <c r="AN25" s="259">
        <f>F25*AF25</f>
        <v>0</v>
      </c>
      <c r="AO25" s="260" t="s">
        <v>655</v>
      </c>
      <c r="AP25" s="260" t="s">
        <v>656</v>
      </c>
      <c r="AQ25" s="232" t="s">
        <v>652</v>
      </c>
      <c r="AR25" s="239"/>
      <c r="AS25" s="259">
        <f>AM25+AN25</f>
        <v>0</v>
      </c>
      <c r="AT25" s="259">
        <f>G25/(100-AU25)*100</f>
        <v>0</v>
      </c>
      <c r="AU25" s="259">
        <v>0</v>
      </c>
      <c r="AV25" s="259">
        <f>L25</f>
        <v>8.9600000000000009E-3</v>
      </c>
    </row>
    <row r="26" spans="1:48" x14ac:dyDescent="0.2">
      <c r="A26" s="226" t="s">
        <v>565</v>
      </c>
      <c r="B26" s="226"/>
      <c r="C26" s="226" t="s">
        <v>566</v>
      </c>
      <c r="D26" s="226" t="s">
        <v>567</v>
      </c>
      <c r="E26" s="226" t="s">
        <v>131</v>
      </c>
      <c r="F26" s="227">
        <v>25.6</v>
      </c>
      <c r="G26" s="227">
        <v>0</v>
      </c>
      <c r="H26" s="227">
        <f>F26*AE26</f>
        <v>0</v>
      </c>
      <c r="I26" s="227">
        <f>J26-H26</f>
        <v>0</v>
      </c>
      <c r="J26" s="227">
        <f>F26*G26</f>
        <v>0</v>
      </c>
      <c r="K26" s="227">
        <v>8.0000000000000007E-5</v>
      </c>
      <c r="L26" s="227">
        <f>F26*K26</f>
        <v>2.0480000000000003E-3</v>
      </c>
      <c r="M26" s="228" t="s">
        <v>543</v>
      </c>
      <c r="N26" s="239"/>
      <c r="O26" s="239"/>
      <c r="P26" s="259">
        <f>IF(AG26="5",J26,0)</f>
        <v>0</v>
      </c>
      <c r="Q26" s="239"/>
      <c r="R26" s="259">
        <f>IF(AG26="1",H26,0)</f>
        <v>0</v>
      </c>
      <c r="S26" s="259">
        <f>IF(AG26="1",I26,0)</f>
        <v>0</v>
      </c>
      <c r="T26" s="259">
        <f>IF(AG26="7",H26,0)</f>
        <v>0</v>
      </c>
      <c r="U26" s="259">
        <f>IF(AG26="7",I26,0)</f>
        <v>0</v>
      </c>
      <c r="V26" s="259">
        <f>IF(AG26="2",H26,0)</f>
        <v>0</v>
      </c>
      <c r="W26" s="259">
        <f>IF(AG26="2",I26,0)</f>
        <v>0</v>
      </c>
      <c r="X26" s="259">
        <f>IF(AG26="0",J26,0)</f>
        <v>0</v>
      </c>
      <c r="Y26" s="232"/>
      <c r="Z26" s="227">
        <f>IF(AD26=0,J26,0)</f>
        <v>0</v>
      </c>
      <c r="AA26" s="227">
        <f>IF(AD26=15,J26,0)</f>
        <v>0</v>
      </c>
      <c r="AB26" s="227">
        <f>IF(AD26=21,J26,0)</f>
        <v>0</v>
      </c>
      <c r="AC26" s="239"/>
      <c r="AD26" s="259">
        <v>15</v>
      </c>
      <c r="AE26" s="259">
        <f>G26*0.163576158940397</f>
        <v>0</v>
      </c>
      <c r="AF26" s="259">
        <f>G26*(1-0.163576158940397)</f>
        <v>0</v>
      </c>
      <c r="AG26" s="228" t="s">
        <v>555</v>
      </c>
      <c r="AH26" s="239"/>
      <c r="AI26" s="239"/>
      <c r="AJ26" s="239"/>
      <c r="AK26" s="239"/>
      <c r="AL26" s="239"/>
      <c r="AM26" s="259">
        <f>F26*AE26</f>
        <v>0</v>
      </c>
      <c r="AN26" s="259">
        <f>F26*AF26</f>
        <v>0</v>
      </c>
      <c r="AO26" s="260" t="s">
        <v>655</v>
      </c>
      <c r="AP26" s="260" t="s">
        <v>656</v>
      </c>
      <c r="AQ26" s="232" t="s">
        <v>652</v>
      </c>
      <c r="AR26" s="239"/>
      <c r="AS26" s="259">
        <f>AM26+AN26</f>
        <v>0</v>
      </c>
      <c r="AT26" s="259">
        <f>G26/(100-AU26)*100</f>
        <v>0</v>
      </c>
      <c r="AU26" s="259">
        <v>0</v>
      </c>
      <c r="AV26" s="259">
        <f>L26</f>
        <v>2.0480000000000003E-3</v>
      </c>
    </row>
    <row r="27" spans="1:48" x14ac:dyDescent="0.2">
      <c r="A27" s="229"/>
      <c r="B27" s="230"/>
      <c r="C27" s="230" t="s">
        <v>74</v>
      </c>
      <c r="D27" s="230" t="s">
        <v>568</v>
      </c>
      <c r="E27" s="229" t="s">
        <v>517</v>
      </c>
      <c r="F27" s="229" t="s">
        <v>517</v>
      </c>
      <c r="G27" s="229" t="s">
        <v>517</v>
      </c>
      <c r="H27" s="231">
        <f>SUM(H28:H28)</f>
        <v>0</v>
      </c>
      <c r="I27" s="231">
        <f>SUM(I28:I28)</f>
        <v>0</v>
      </c>
      <c r="J27" s="231">
        <f>H27+I27</f>
        <v>0</v>
      </c>
      <c r="K27" s="232"/>
      <c r="L27" s="231">
        <f>SUM(L28:L28)</f>
        <v>7.7200000000000012E-4</v>
      </c>
      <c r="M27" s="232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2"/>
      <c r="Z27" s="239"/>
      <c r="AA27" s="239"/>
      <c r="AB27" s="239"/>
      <c r="AC27" s="239"/>
      <c r="AD27" s="239"/>
      <c r="AE27" s="239"/>
      <c r="AF27" s="239"/>
      <c r="AG27" s="239"/>
      <c r="AH27" s="239"/>
      <c r="AI27" s="231">
        <f>SUM(Z28:Z28)</f>
        <v>0</v>
      </c>
      <c r="AJ27" s="231">
        <f>SUM(AA28:AA28)</f>
        <v>0</v>
      </c>
      <c r="AK27" s="231">
        <f>SUM(AB28:AB28)</f>
        <v>0</v>
      </c>
      <c r="AL27" s="239"/>
      <c r="AM27" s="239"/>
      <c r="AN27" s="239"/>
      <c r="AO27" s="239"/>
      <c r="AP27" s="239"/>
      <c r="AQ27" s="239"/>
      <c r="AR27" s="239"/>
      <c r="AS27" s="239"/>
      <c r="AT27" s="239"/>
      <c r="AU27" s="239"/>
      <c r="AV27" s="239"/>
    </row>
    <row r="28" spans="1:48" x14ac:dyDescent="0.2">
      <c r="A28" s="226" t="s">
        <v>569</v>
      </c>
      <c r="B28" s="226"/>
      <c r="C28" s="226" t="s">
        <v>186</v>
      </c>
      <c r="D28" s="226" t="s">
        <v>187</v>
      </c>
      <c r="E28" s="226" t="s">
        <v>131</v>
      </c>
      <c r="F28" s="227">
        <v>19.3</v>
      </c>
      <c r="G28" s="227">
        <v>0</v>
      </c>
      <c r="H28" s="227">
        <f>F28*AE28</f>
        <v>0</v>
      </c>
      <c r="I28" s="227">
        <f>J28-H28</f>
        <v>0</v>
      </c>
      <c r="J28" s="227">
        <f>F28*G28</f>
        <v>0</v>
      </c>
      <c r="K28" s="227">
        <v>4.0000000000000003E-5</v>
      </c>
      <c r="L28" s="227">
        <f>F28*K28</f>
        <v>7.7200000000000012E-4</v>
      </c>
      <c r="M28" s="228" t="s">
        <v>543</v>
      </c>
      <c r="N28" s="239"/>
      <c r="O28" s="239"/>
      <c r="P28" s="259">
        <f>IF(AG28="5",J28,0)</f>
        <v>0</v>
      </c>
      <c r="Q28" s="239"/>
      <c r="R28" s="259">
        <f>IF(AG28="1",H28,0)</f>
        <v>0</v>
      </c>
      <c r="S28" s="259">
        <f>IF(AG28="1",I28,0)</f>
        <v>0</v>
      </c>
      <c r="T28" s="259">
        <f>IF(AG28="7",H28,0)</f>
        <v>0</v>
      </c>
      <c r="U28" s="259">
        <f>IF(AG28="7",I28,0)</f>
        <v>0</v>
      </c>
      <c r="V28" s="259">
        <f>IF(AG28="2",H28,0)</f>
        <v>0</v>
      </c>
      <c r="W28" s="259">
        <f>IF(AG28="2",I28,0)</f>
        <v>0</v>
      </c>
      <c r="X28" s="259">
        <f>IF(AG28="0",J28,0)</f>
        <v>0</v>
      </c>
      <c r="Y28" s="232"/>
      <c r="Z28" s="227">
        <f>IF(AD28=0,J28,0)</f>
        <v>0</v>
      </c>
      <c r="AA28" s="227">
        <f>IF(AD28=15,J28,0)</f>
        <v>0</v>
      </c>
      <c r="AB28" s="227">
        <f>IF(AD28=21,J28,0)</f>
        <v>0</v>
      </c>
      <c r="AC28" s="239"/>
      <c r="AD28" s="259">
        <v>15</v>
      </c>
      <c r="AE28" s="259">
        <f>G28*0.0149565217391304</f>
        <v>0</v>
      </c>
      <c r="AF28" s="259">
        <f>G28*(1-0.0149565217391304)</f>
        <v>0</v>
      </c>
      <c r="AG28" s="228" t="s">
        <v>542</v>
      </c>
      <c r="AH28" s="239"/>
      <c r="AI28" s="239"/>
      <c r="AJ28" s="239"/>
      <c r="AK28" s="239"/>
      <c r="AL28" s="239"/>
      <c r="AM28" s="259">
        <f>F28*AE28</f>
        <v>0</v>
      </c>
      <c r="AN28" s="259">
        <f>F28*AF28</f>
        <v>0</v>
      </c>
      <c r="AO28" s="260" t="s">
        <v>657</v>
      </c>
      <c r="AP28" s="260" t="s">
        <v>658</v>
      </c>
      <c r="AQ28" s="232" t="s">
        <v>652</v>
      </c>
      <c r="AR28" s="239"/>
      <c r="AS28" s="259">
        <f>AM28+AN28</f>
        <v>0</v>
      </c>
      <c r="AT28" s="259">
        <f>G28/(100-AU28)*100</f>
        <v>0</v>
      </c>
      <c r="AU28" s="259">
        <v>0</v>
      </c>
      <c r="AV28" s="259">
        <f>L28</f>
        <v>7.7200000000000012E-4</v>
      </c>
    </row>
    <row r="29" spans="1:48" x14ac:dyDescent="0.2">
      <c r="A29" s="229"/>
      <c r="B29" s="230"/>
      <c r="C29" s="230" t="s">
        <v>76</v>
      </c>
      <c r="D29" s="230" t="s">
        <v>77</v>
      </c>
      <c r="E29" s="229" t="s">
        <v>517</v>
      </c>
      <c r="F29" s="229" t="s">
        <v>517</v>
      </c>
      <c r="G29" s="229" t="s">
        <v>517</v>
      </c>
      <c r="H29" s="231">
        <f>SUM(H30:H31)</f>
        <v>0</v>
      </c>
      <c r="I29" s="231">
        <f>SUM(I30:I31)</f>
        <v>0</v>
      </c>
      <c r="J29" s="231">
        <f>H29+I29</f>
        <v>0</v>
      </c>
      <c r="K29" s="232"/>
      <c r="L29" s="231">
        <f>SUM(L30:L31)</f>
        <v>2.9336000000000002</v>
      </c>
      <c r="M29" s="232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2"/>
      <c r="Z29" s="239"/>
      <c r="AA29" s="239"/>
      <c r="AB29" s="239"/>
      <c r="AC29" s="239"/>
      <c r="AD29" s="239"/>
      <c r="AE29" s="239"/>
      <c r="AF29" s="239"/>
      <c r="AG29" s="239"/>
      <c r="AH29" s="239"/>
      <c r="AI29" s="231">
        <f>SUM(Z30:Z31)</f>
        <v>0</v>
      </c>
      <c r="AJ29" s="231">
        <f>SUM(AA30:AA31)</f>
        <v>0</v>
      </c>
      <c r="AK29" s="231">
        <f>SUM(AB30:AB31)</f>
        <v>0</v>
      </c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</row>
    <row r="30" spans="1:48" x14ac:dyDescent="0.2">
      <c r="A30" s="226" t="s">
        <v>570</v>
      </c>
      <c r="B30" s="226"/>
      <c r="C30" s="226" t="s">
        <v>571</v>
      </c>
      <c r="D30" s="226" t="s">
        <v>201</v>
      </c>
      <c r="E30" s="226" t="s">
        <v>143</v>
      </c>
      <c r="F30" s="227">
        <v>1.1579999999999999</v>
      </c>
      <c r="G30" s="227">
        <v>0</v>
      </c>
      <c r="H30" s="227">
        <f>F30*AE30</f>
        <v>0</v>
      </c>
      <c r="I30" s="227">
        <f>J30-H30</f>
        <v>0</v>
      </c>
      <c r="J30" s="227">
        <f>F30*G30</f>
        <v>0</v>
      </c>
      <c r="K30" s="227">
        <v>2.2000000000000002</v>
      </c>
      <c r="L30" s="227">
        <f>F30*K30</f>
        <v>2.5476000000000001</v>
      </c>
      <c r="M30" s="228" t="s">
        <v>543</v>
      </c>
      <c r="N30" s="239"/>
      <c r="O30" s="239"/>
      <c r="P30" s="259">
        <f>IF(AG30="5",J30,0)</f>
        <v>0</v>
      </c>
      <c r="Q30" s="239"/>
      <c r="R30" s="259">
        <f>IF(AG30="1",H30,0)</f>
        <v>0</v>
      </c>
      <c r="S30" s="259">
        <f>IF(AG30="1",I30,0)</f>
        <v>0</v>
      </c>
      <c r="T30" s="259">
        <f>IF(AG30="7",H30,0)</f>
        <v>0</v>
      </c>
      <c r="U30" s="259">
        <f>IF(AG30="7",I30,0)</f>
        <v>0</v>
      </c>
      <c r="V30" s="259">
        <f>IF(AG30="2",H30,0)</f>
        <v>0</v>
      </c>
      <c r="W30" s="259">
        <f>IF(AG30="2",I30,0)</f>
        <v>0</v>
      </c>
      <c r="X30" s="259">
        <f>IF(AG30="0",J30,0)</f>
        <v>0</v>
      </c>
      <c r="Y30" s="232"/>
      <c r="Z30" s="227">
        <f>IF(AD30=0,J30,0)</f>
        <v>0</v>
      </c>
      <c r="AA30" s="227">
        <f>IF(AD30=15,J30,0)</f>
        <v>0</v>
      </c>
      <c r="AB30" s="227">
        <f>IF(AD30=21,J30,0)</f>
        <v>0</v>
      </c>
      <c r="AC30" s="239"/>
      <c r="AD30" s="259">
        <v>15</v>
      </c>
      <c r="AE30" s="259">
        <f>G30*0</f>
        <v>0</v>
      </c>
      <c r="AF30" s="259">
        <f>G30*(1-0)</f>
        <v>0</v>
      </c>
      <c r="AG30" s="228" t="s">
        <v>542</v>
      </c>
      <c r="AH30" s="239"/>
      <c r="AI30" s="239"/>
      <c r="AJ30" s="239"/>
      <c r="AK30" s="239"/>
      <c r="AL30" s="239"/>
      <c r="AM30" s="259">
        <f>F30*AE30</f>
        <v>0</v>
      </c>
      <c r="AN30" s="259">
        <f>F30*AF30</f>
        <v>0</v>
      </c>
      <c r="AO30" s="260" t="s">
        <v>659</v>
      </c>
      <c r="AP30" s="260" t="s">
        <v>658</v>
      </c>
      <c r="AQ30" s="232" t="s">
        <v>652</v>
      </c>
      <c r="AR30" s="239"/>
      <c r="AS30" s="259">
        <f>AM30+AN30</f>
        <v>0</v>
      </c>
      <c r="AT30" s="259">
        <f>G30/(100-AU30)*100</f>
        <v>0</v>
      </c>
      <c r="AU30" s="259">
        <v>0</v>
      </c>
      <c r="AV30" s="259">
        <f>L30</f>
        <v>2.5476000000000001</v>
      </c>
    </row>
    <row r="31" spans="1:48" x14ac:dyDescent="0.2">
      <c r="A31" s="226" t="s">
        <v>572</v>
      </c>
      <c r="B31" s="226"/>
      <c r="C31" s="226" t="s">
        <v>205</v>
      </c>
      <c r="D31" s="226" t="s">
        <v>573</v>
      </c>
      <c r="E31" s="226" t="s">
        <v>131</v>
      </c>
      <c r="F31" s="227">
        <v>19.3</v>
      </c>
      <c r="G31" s="227">
        <v>0</v>
      </c>
      <c r="H31" s="227">
        <f>F31*AE31</f>
        <v>0</v>
      </c>
      <c r="I31" s="227">
        <f>J31-H31</f>
        <v>0</v>
      </c>
      <c r="J31" s="227">
        <f>F31*G31</f>
        <v>0</v>
      </c>
      <c r="K31" s="227">
        <v>0.02</v>
      </c>
      <c r="L31" s="227">
        <f>F31*K31</f>
        <v>0.38600000000000001</v>
      </c>
      <c r="M31" s="228" t="s">
        <v>543</v>
      </c>
      <c r="N31" s="239"/>
      <c r="O31" s="239"/>
      <c r="P31" s="259">
        <f>IF(AG31="5",J31,0)</f>
        <v>0</v>
      </c>
      <c r="Q31" s="239"/>
      <c r="R31" s="259">
        <f>IF(AG31="1",H31,0)</f>
        <v>0</v>
      </c>
      <c r="S31" s="259">
        <f>IF(AG31="1",I31,0)</f>
        <v>0</v>
      </c>
      <c r="T31" s="259">
        <f>IF(AG31="7",H31,0)</f>
        <v>0</v>
      </c>
      <c r="U31" s="259">
        <f>IF(AG31="7",I31,0)</f>
        <v>0</v>
      </c>
      <c r="V31" s="259">
        <f>IF(AG31="2",H31,0)</f>
        <v>0</v>
      </c>
      <c r="W31" s="259">
        <f>IF(AG31="2",I31,0)</f>
        <v>0</v>
      </c>
      <c r="X31" s="259">
        <f>IF(AG31="0",J31,0)</f>
        <v>0</v>
      </c>
      <c r="Y31" s="232"/>
      <c r="Z31" s="227">
        <f>IF(AD31=0,J31,0)</f>
        <v>0</v>
      </c>
      <c r="AA31" s="227">
        <f>IF(AD31=15,J31,0)</f>
        <v>0</v>
      </c>
      <c r="AB31" s="227">
        <f>IF(AD31=21,J31,0)</f>
        <v>0</v>
      </c>
      <c r="AC31" s="239"/>
      <c r="AD31" s="259">
        <v>15</v>
      </c>
      <c r="AE31" s="259">
        <f>G31*0</f>
        <v>0</v>
      </c>
      <c r="AF31" s="259">
        <f>G31*(1-0)</f>
        <v>0</v>
      </c>
      <c r="AG31" s="228" t="s">
        <v>542</v>
      </c>
      <c r="AH31" s="239"/>
      <c r="AI31" s="239"/>
      <c r="AJ31" s="239"/>
      <c r="AK31" s="239"/>
      <c r="AL31" s="239"/>
      <c r="AM31" s="259">
        <f>F31*AE31</f>
        <v>0</v>
      </c>
      <c r="AN31" s="259">
        <f>F31*AF31</f>
        <v>0</v>
      </c>
      <c r="AO31" s="260" t="s">
        <v>659</v>
      </c>
      <c r="AP31" s="260" t="s">
        <v>658</v>
      </c>
      <c r="AQ31" s="232" t="s">
        <v>652</v>
      </c>
      <c r="AR31" s="239"/>
      <c r="AS31" s="259">
        <f>AM31+AN31</f>
        <v>0</v>
      </c>
      <c r="AT31" s="259">
        <f>G31/(100-AU31)*100</f>
        <v>0</v>
      </c>
      <c r="AU31" s="259">
        <v>0</v>
      </c>
      <c r="AV31" s="259">
        <f>L31</f>
        <v>0.38600000000000001</v>
      </c>
    </row>
    <row r="32" spans="1:48" x14ac:dyDescent="0.2">
      <c r="A32" s="229"/>
      <c r="B32" s="230"/>
      <c r="C32" s="230" t="s">
        <v>574</v>
      </c>
      <c r="D32" s="230" t="s">
        <v>544</v>
      </c>
      <c r="E32" s="229" t="s">
        <v>517</v>
      </c>
      <c r="F32" s="229" t="s">
        <v>517</v>
      </c>
      <c r="G32" s="229" t="s">
        <v>517</v>
      </c>
      <c r="H32" s="231">
        <f>SUM(H33:H33)</f>
        <v>0</v>
      </c>
      <c r="I32" s="231">
        <f>SUM(I33:I33)</f>
        <v>0</v>
      </c>
      <c r="J32" s="231">
        <f>H32+I32</f>
        <v>0</v>
      </c>
      <c r="K32" s="232"/>
      <c r="L32" s="231">
        <f>SUM(L33:L33)</f>
        <v>0</v>
      </c>
      <c r="M32" s="232"/>
      <c r="N32" s="239"/>
      <c r="O32" s="239"/>
      <c r="P32" s="239"/>
      <c r="Q32" s="239"/>
      <c r="R32" s="239"/>
      <c r="S32" s="239"/>
      <c r="T32" s="239"/>
      <c r="U32" s="239"/>
      <c r="V32" s="239"/>
      <c r="W32" s="239"/>
      <c r="X32" s="239"/>
      <c r="Y32" s="232"/>
      <c r="Z32" s="239"/>
      <c r="AA32" s="239"/>
      <c r="AB32" s="239"/>
      <c r="AC32" s="239"/>
      <c r="AD32" s="239"/>
      <c r="AE32" s="239"/>
      <c r="AF32" s="239"/>
      <c r="AG32" s="239"/>
      <c r="AH32" s="239"/>
      <c r="AI32" s="231">
        <f>SUM(Z33:Z33)</f>
        <v>0</v>
      </c>
      <c r="AJ32" s="231">
        <f>SUM(AA33:AA33)</f>
        <v>0</v>
      </c>
      <c r="AK32" s="231">
        <f>SUM(AB33:AB33)</f>
        <v>0</v>
      </c>
      <c r="AL32" s="239"/>
      <c r="AM32" s="239"/>
      <c r="AN32" s="239"/>
      <c r="AO32" s="239"/>
      <c r="AP32" s="239"/>
      <c r="AQ32" s="239"/>
      <c r="AR32" s="239"/>
      <c r="AS32" s="239"/>
      <c r="AT32" s="239"/>
      <c r="AU32" s="239"/>
      <c r="AV32" s="239"/>
    </row>
    <row r="33" spans="1:48" x14ac:dyDescent="0.2">
      <c r="A33" s="226" t="s">
        <v>575</v>
      </c>
      <c r="B33" s="226"/>
      <c r="C33" s="226" t="s">
        <v>331</v>
      </c>
      <c r="D33" s="226" t="s">
        <v>332</v>
      </c>
      <c r="E33" s="226" t="s">
        <v>0</v>
      </c>
      <c r="F33" s="227">
        <v>172.23</v>
      </c>
      <c r="G33" s="227">
        <v>0</v>
      </c>
      <c r="H33" s="227">
        <f>F33*AE33</f>
        <v>0</v>
      </c>
      <c r="I33" s="227">
        <f>J33-H33</f>
        <v>0</v>
      </c>
      <c r="J33" s="227">
        <f>F33*G33</f>
        <v>0</v>
      </c>
      <c r="K33" s="227">
        <v>0</v>
      </c>
      <c r="L33" s="227">
        <f>F33*K33</f>
        <v>0</v>
      </c>
      <c r="M33" s="228" t="s">
        <v>543</v>
      </c>
      <c r="N33" s="239"/>
      <c r="O33" s="239"/>
      <c r="P33" s="259">
        <f>IF(AG33="5",J33,0)</f>
        <v>0</v>
      </c>
      <c r="Q33" s="239"/>
      <c r="R33" s="259">
        <f>IF(AG33="1",H33,0)</f>
        <v>0</v>
      </c>
      <c r="S33" s="259">
        <f>IF(AG33="1",I33,0)</f>
        <v>0</v>
      </c>
      <c r="T33" s="259">
        <f>IF(AG33="7",H33,0)</f>
        <v>0</v>
      </c>
      <c r="U33" s="259">
        <f>IF(AG33="7",I33,0)</f>
        <v>0</v>
      </c>
      <c r="V33" s="259">
        <f>IF(AG33="2",H33,0)</f>
        <v>0</v>
      </c>
      <c r="W33" s="259">
        <f>IF(AG33="2",I33,0)</f>
        <v>0</v>
      </c>
      <c r="X33" s="259">
        <f>IF(AG33="0",J33,0)</f>
        <v>0</v>
      </c>
      <c r="Y33" s="232"/>
      <c r="Z33" s="227">
        <f>IF(AD33=0,J33,0)</f>
        <v>0</v>
      </c>
      <c r="AA33" s="227">
        <f>IF(AD33=15,J33,0)</f>
        <v>0</v>
      </c>
      <c r="AB33" s="227">
        <f>IF(AD33=21,J33,0)</f>
        <v>0</v>
      </c>
      <c r="AC33" s="239"/>
      <c r="AD33" s="259">
        <v>15</v>
      </c>
      <c r="AE33" s="259">
        <f>G33*0</f>
        <v>0</v>
      </c>
      <c r="AF33" s="259">
        <f>G33*(1-0)</f>
        <v>0</v>
      </c>
      <c r="AG33" s="228" t="s">
        <v>549</v>
      </c>
      <c r="AH33" s="239"/>
      <c r="AI33" s="239"/>
      <c r="AJ33" s="239"/>
      <c r="AK33" s="239"/>
      <c r="AL33" s="239"/>
      <c r="AM33" s="259">
        <f>F33*AE33</f>
        <v>0</v>
      </c>
      <c r="AN33" s="259">
        <f>F33*AF33</f>
        <v>0</v>
      </c>
      <c r="AO33" s="260" t="s">
        <v>660</v>
      </c>
      <c r="AP33" s="260" t="s">
        <v>658</v>
      </c>
      <c r="AQ33" s="232" t="s">
        <v>652</v>
      </c>
      <c r="AR33" s="239"/>
      <c r="AS33" s="259">
        <f>AM33+AN33</f>
        <v>0</v>
      </c>
      <c r="AT33" s="259">
        <f>G33/(100-AU33)*100</f>
        <v>0</v>
      </c>
      <c r="AU33" s="259">
        <v>0</v>
      </c>
      <c r="AV33" s="259">
        <f>L33</f>
        <v>0</v>
      </c>
    </row>
    <row r="34" spans="1:48" x14ac:dyDescent="0.2">
      <c r="A34" s="229"/>
      <c r="B34" s="230"/>
      <c r="C34" s="230" t="s">
        <v>576</v>
      </c>
      <c r="D34" s="230" t="s">
        <v>577</v>
      </c>
      <c r="E34" s="229" t="s">
        <v>517</v>
      </c>
      <c r="F34" s="229" t="s">
        <v>517</v>
      </c>
      <c r="G34" s="229" t="s">
        <v>517</v>
      </c>
      <c r="H34" s="231">
        <f>SUM(H35:H35)</f>
        <v>0</v>
      </c>
      <c r="I34" s="231">
        <f>SUM(I35:I35)</f>
        <v>0</v>
      </c>
      <c r="J34" s="231">
        <f>H34+I34</f>
        <v>0</v>
      </c>
      <c r="K34" s="232"/>
      <c r="L34" s="231">
        <f>SUM(L35:L35)</f>
        <v>0</v>
      </c>
      <c r="M34" s="232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2"/>
      <c r="Z34" s="239"/>
      <c r="AA34" s="239"/>
      <c r="AB34" s="239"/>
      <c r="AC34" s="239"/>
      <c r="AD34" s="239"/>
      <c r="AE34" s="239"/>
      <c r="AF34" s="239"/>
      <c r="AG34" s="239"/>
      <c r="AH34" s="239"/>
      <c r="AI34" s="231">
        <f>SUM(Z35:Z35)</f>
        <v>0</v>
      </c>
      <c r="AJ34" s="231">
        <f>SUM(AA35:AA35)</f>
        <v>0</v>
      </c>
      <c r="AK34" s="231">
        <f>SUM(AB35:AB35)</f>
        <v>0</v>
      </c>
      <c r="AL34" s="239"/>
      <c r="AM34" s="239"/>
      <c r="AN34" s="239"/>
      <c r="AO34" s="239"/>
      <c r="AP34" s="239"/>
      <c r="AQ34" s="239"/>
      <c r="AR34" s="239"/>
      <c r="AS34" s="239"/>
      <c r="AT34" s="239"/>
      <c r="AU34" s="239"/>
      <c r="AV34" s="239"/>
    </row>
    <row r="35" spans="1:48" x14ac:dyDescent="0.2">
      <c r="A35" s="226" t="s">
        <v>578</v>
      </c>
      <c r="B35" s="226"/>
      <c r="C35" s="226" t="s">
        <v>221</v>
      </c>
      <c r="D35" s="226" t="s">
        <v>222</v>
      </c>
      <c r="E35" s="226" t="s">
        <v>176</v>
      </c>
      <c r="F35" s="227">
        <v>29.393000000000001</v>
      </c>
      <c r="G35" s="227">
        <v>0</v>
      </c>
      <c r="H35" s="227">
        <f>F35*AE35</f>
        <v>0</v>
      </c>
      <c r="I35" s="227">
        <f>J35-H35</f>
        <v>0</v>
      </c>
      <c r="J35" s="227">
        <f>F35*G35</f>
        <v>0</v>
      </c>
      <c r="K35" s="227">
        <v>0</v>
      </c>
      <c r="L35" s="227">
        <f>F35*K35</f>
        <v>0</v>
      </c>
      <c r="M35" s="228" t="s">
        <v>543</v>
      </c>
      <c r="N35" s="239"/>
      <c r="O35" s="239"/>
      <c r="P35" s="259">
        <f>IF(AG35="5",J35,0)</f>
        <v>0</v>
      </c>
      <c r="Q35" s="239"/>
      <c r="R35" s="259">
        <f>IF(AG35="1",H35,0)</f>
        <v>0</v>
      </c>
      <c r="S35" s="259">
        <f>IF(AG35="1",I35,0)</f>
        <v>0</v>
      </c>
      <c r="T35" s="259">
        <f>IF(AG35="7",H35,0)</f>
        <v>0</v>
      </c>
      <c r="U35" s="259">
        <f>IF(AG35="7",I35,0)</f>
        <v>0</v>
      </c>
      <c r="V35" s="259">
        <f>IF(AG35="2",H35,0)</f>
        <v>0</v>
      </c>
      <c r="W35" s="259">
        <f>IF(AG35="2",I35,0)</f>
        <v>0</v>
      </c>
      <c r="X35" s="259">
        <f>IF(AG35="0",J35,0)</f>
        <v>0</v>
      </c>
      <c r="Y35" s="232"/>
      <c r="Z35" s="227">
        <f>IF(AD35=0,J35,0)</f>
        <v>0</v>
      </c>
      <c r="AA35" s="227">
        <f>IF(AD35=15,J35,0)</f>
        <v>0</v>
      </c>
      <c r="AB35" s="227">
        <f>IF(AD35=21,J35,0)</f>
        <v>0</v>
      </c>
      <c r="AC35" s="239"/>
      <c r="AD35" s="259">
        <v>15</v>
      </c>
      <c r="AE35" s="259">
        <f>G35*0</f>
        <v>0</v>
      </c>
      <c r="AF35" s="259">
        <f>G35*(1-0)</f>
        <v>0</v>
      </c>
      <c r="AG35" s="228" t="s">
        <v>549</v>
      </c>
      <c r="AH35" s="239"/>
      <c r="AI35" s="239"/>
      <c r="AJ35" s="239"/>
      <c r="AK35" s="239"/>
      <c r="AL35" s="239"/>
      <c r="AM35" s="259">
        <f>F35*AE35</f>
        <v>0</v>
      </c>
      <c r="AN35" s="259">
        <f>F35*AF35</f>
        <v>0</v>
      </c>
      <c r="AO35" s="260" t="s">
        <v>661</v>
      </c>
      <c r="AP35" s="260" t="s">
        <v>658</v>
      </c>
      <c r="AQ35" s="232" t="s">
        <v>652</v>
      </c>
      <c r="AR35" s="239"/>
      <c r="AS35" s="259">
        <f>AM35+AN35</f>
        <v>0</v>
      </c>
      <c r="AT35" s="259">
        <f>G35/(100-AU35)*100</f>
        <v>0</v>
      </c>
      <c r="AU35" s="259">
        <v>0</v>
      </c>
      <c r="AV35" s="259">
        <f>L35</f>
        <v>0</v>
      </c>
    </row>
    <row r="36" spans="1:48" x14ac:dyDescent="0.2">
      <c r="A36" s="229"/>
      <c r="B36" s="230"/>
      <c r="C36" s="230" t="s">
        <v>579</v>
      </c>
      <c r="D36" s="230" t="s">
        <v>580</v>
      </c>
      <c r="E36" s="229" t="s">
        <v>517</v>
      </c>
      <c r="F36" s="229" t="s">
        <v>517</v>
      </c>
      <c r="G36" s="229" t="s">
        <v>517</v>
      </c>
      <c r="H36" s="231">
        <f>SUM(H37:H40)</f>
        <v>0</v>
      </c>
      <c r="I36" s="231">
        <f>SUM(I37:I40)</f>
        <v>0</v>
      </c>
      <c r="J36" s="231">
        <f>H36+I36</f>
        <v>0</v>
      </c>
      <c r="K36" s="232"/>
      <c r="L36" s="231">
        <f>SUM(L37:L40)</f>
        <v>0</v>
      </c>
      <c r="M36" s="232"/>
      <c r="N36" s="239"/>
      <c r="O36" s="239"/>
      <c r="P36" s="239"/>
      <c r="Q36" s="239"/>
      <c r="R36" s="239"/>
      <c r="S36" s="239"/>
      <c r="T36" s="239"/>
      <c r="U36" s="239"/>
      <c r="V36" s="239"/>
      <c r="W36" s="239"/>
      <c r="X36" s="239"/>
      <c r="Y36" s="232"/>
      <c r="Z36" s="239"/>
      <c r="AA36" s="239"/>
      <c r="AB36" s="239"/>
      <c r="AC36" s="239"/>
      <c r="AD36" s="239"/>
      <c r="AE36" s="239"/>
      <c r="AF36" s="239"/>
      <c r="AG36" s="239"/>
      <c r="AH36" s="239"/>
      <c r="AI36" s="231">
        <f>SUM(Z37:Z40)</f>
        <v>0</v>
      </c>
      <c r="AJ36" s="231">
        <f>SUM(AA37:AA40)</f>
        <v>0</v>
      </c>
      <c r="AK36" s="231">
        <f>SUM(AB37:AB40)</f>
        <v>0</v>
      </c>
      <c r="AL36" s="239"/>
      <c r="AM36" s="239"/>
      <c r="AN36" s="239"/>
      <c r="AO36" s="239"/>
      <c r="AP36" s="239"/>
      <c r="AQ36" s="239"/>
      <c r="AR36" s="239"/>
      <c r="AS36" s="239"/>
      <c r="AT36" s="239"/>
      <c r="AU36" s="239"/>
      <c r="AV36" s="239"/>
    </row>
    <row r="37" spans="1:48" x14ac:dyDescent="0.2">
      <c r="A37" s="226" t="s">
        <v>581</v>
      </c>
      <c r="B37" s="226"/>
      <c r="C37" s="226" t="s">
        <v>476</v>
      </c>
      <c r="D37" s="226" t="s">
        <v>477</v>
      </c>
      <c r="E37" s="226" t="s">
        <v>176</v>
      </c>
      <c r="F37" s="227">
        <v>3.1059999999999999</v>
      </c>
      <c r="G37" s="227">
        <v>0</v>
      </c>
      <c r="H37" s="227">
        <f>F37*AE37</f>
        <v>0</v>
      </c>
      <c r="I37" s="227">
        <f>J37-H37</f>
        <v>0</v>
      </c>
      <c r="J37" s="227">
        <f>F37*G37</f>
        <v>0</v>
      </c>
      <c r="K37" s="227">
        <v>0</v>
      </c>
      <c r="L37" s="227">
        <f>F37*K37</f>
        <v>0</v>
      </c>
      <c r="M37" s="228" t="s">
        <v>543</v>
      </c>
      <c r="N37" s="239"/>
      <c r="O37" s="239"/>
      <c r="P37" s="259">
        <f>IF(AG37="5",J37,0)</f>
        <v>0</v>
      </c>
      <c r="Q37" s="239"/>
      <c r="R37" s="259">
        <f>IF(AG37="1",H37,0)</f>
        <v>0</v>
      </c>
      <c r="S37" s="259">
        <f>IF(AG37="1",I37,0)</f>
        <v>0</v>
      </c>
      <c r="T37" s="259">
        <f>IF(AG37="7",H37,0)</f>
        <v>0</v>
      </c>
      <c r="U37" s="259">
        <f>IF(AG37="7",I37,0)</f>
        <v>0</v>
      </c>
      <c r="V37" s="259">
        <f>IF(AG37="2",H37,0)</f>
        <v>0</v>
      </c>
      <c r="W37" s="259">
        <f>IF(AG37="2",I37,0)</f>
        <v>0</v>
      </c>
      <c r="X37" s="259">
        <f>IF(AG37="0",J37,0)</f>
        <v>0</v>
      </c>
      <c r="Y37" s="232"/>
      <c r="Z37" s="227">
        <f>IF(AD37=0,J37,0)</f>
        <v>0</v>
      </c>
      <c r="AA37" s="227">
        <f>IF(AD37=15,J37,0)</f>
        <v>0</v>
      </c>
      <c r="AB37" s="227">
        <f>IF(AD37=21,J37,0)</f>
        <v>0</v>
      </c>
      <c r="AC37" s="239"/>
      <c r="AD37" s="259">
        <v>15</v>
      </c>
      <c r="AE37" s="259">
        <f>G37*0</f>
        <v>0</v>
      </c>
      <c r="AF37" s="259">
        <f>G37*(1-0)</f>
        <v>0</v>
      </c>
      <c r="AG37" s="228" t="s">
        <v>549</v>
      </c>
      <c r="AH37" s="239"/>
      <c r="AI37" s="239"/>
      <c r="AJ37" s="239"/>
      <c r="AK37" s="239"/>
      <c r="AL37" s="239"/>
      <c r="AM37" s="259">
        <f>F37*AE37</f>
        <v>0</v>
      </c>
      <c r="AN37" s="259">
        <f>F37*AF37</f>
        <v>0</v>
      </c>
      <c r="AO37" s="260" t="s">
        <v>662</v>
      </c>
      <c r="AP37" s="260" t="s">
        <v>658</v>
      </c>
      <c r="AQ37" s="232" t="s">
        <v>652</v>
      </c>
      <c r="AR37" s="239"/>
      <c r="AS37" s="259">
        <f>AM37+AN37</f>
        <v>0</v>
      </c>
      <c r="AT37" s="259">
        <f>G37/(100-AU37)*100</f>
        <v>0</v>
      </c>
      <c r="AU37" s="259">
        <v>0</v>
      </c>
      <c r="AV37" s="259">
        <f>L37</f>
        <v>0</v>
      </c>
    </row>
    <row r="38" spans="1:48" x14ac:dyDescent="0.2">
      <c r="A38" s="226" t="s">
        <v>582</v>
      </c>
      <c r="B38" s="226"/>
      <c r="C38" s="226" t="s">
        <v>480</v>
      </c>
      <c r="D38" s="226" t="s">
        <v>481</v>
      </c>
      <c r="E38" s="226" t="s">
        <v>176</v>
      </c>
      <c r="F38" s="227">
        <v>3.1059999999999999</v>
      </c>
      <c r="G38" s="227">
        <v>0</v>
      </c>
      <c r="H38" s="227">
        <f>F38*AE38</f>
        <v>0</v>
      </c>
      <c r="I38" s="227">
        <f>J38-H38</f>
        <v>0</v>
      </c>
      <c r="J38" s="227">
        <f>F38*G38</f>
        <v>0</v>
      </c>
      <c r="K38" s="227">
        <v>0</v>
      </c>
      <c r="L38" s="227">
        <f>F38*K38</f>
        <v>0</v>
      </c>
      <c r="M38" s="228" t="s">
        <v>543</v>
      </c>
      <c r="N38" s="239"/>
      <c r="O38" s="239"/>
      <c r="P38" s="259">
        <f>IF(AG38="5",J38,0)</f>
        <v>0</v>
      </c>
      <c r="Q38" s="239"/>
      <c r="R38" s="259">
        <f>IF(AG38="1",H38,0)</f>
        <v>0</v>
      </c>
      <c r="S38" s="259">
        <f>IF(AG38="1",I38,0)</f>
        <v>0</v>
      </c>
      <c r="T38" s="259">
        <f>IF(AG38="7",H38,0)</f>
        <v>0</v>
      </c>
      <c r="U38" s="259">
        <f>IF(AG38="7",I38,0)</f>
        <v>0</v>
      </c>
      <c r="V38" s="259">
        <f>IF(AG38="2",H38,0)</f>
        <v>0</v>
      </c>
      <c r="W38" s="259">
        <f>IF(AG38="2",I38,0)</f>
        <v>0</v>
      </c>
      <c r="X38" s="259">
        <f>IF(AG38="0",J38,0)</f>
        <v>0</v>
      </c>
      <c r="Y38" s="232"/>
      <c r="Z38" s="227">
        <f>IF(AD38=0,J38,0)</f>
        <v>0</v>
      </c>
      <c r="AA38" s="227">
        <f>IF(AD38=15,J38,0)</f>
        <v>0</v>
      </c>
      <c r="AB38" s="227">
        <f>IF(AD38=21,J38,0)</f>
        <v>0</v>
      </c>
      <c r="AC38" s="239"/>
      <c r="AD38" s="259">
        <v>15</v>
      </c>
      <c r="AE38" s="259">
        <f>G38*0</f>
        <v>0</v>
      </c>
      <c r="AF38" s="259">
        <f>G38*(1-0)</f>
        <v>0</v>
      </c>
      <c r="AG38" s="228" t="s">
        <v>549</v>
      </c>
      <c r="AH38" s="239"/>
      <c r="AI38" s="239"/>
      <c r="AJ38" s="239"/>
      <c r="AK38" s="239"/>
      <c r="AL38" s="239"/>
      <c r="AM38" s="259">
        <f>F38*AE38</f>
        <v>0</v>
      </c>
      <c r="AN38" s="259">
        <f>F38*AF38</f>
        <v>0</v>
      </c>
      <c r="AO38" s="260" t="s">
        <v>662</v>
      </c>
      <c r="AP38" s="260" t="s">
        <v>658</v>
      </c>
      <c r="AQ38" s="232" t="s">
        <v>652</v>
      </c>
      <c r="AR38" s="239"/>
      <c r="AS38" s="259">
        <f>AM38+AN38</f>
        <v>0</v>
      </c>
      <c r="AT38" s="259">
        <f>G38/(100-AU38)*100</f>
        <v>0</v>
      </c>
      <c r="AU38" s="259">
        <v>0</v>
      </c>
      <c r="AV38" s="259">
        <f>L38</f>
        <v>0</v>
      </c>
    </row>
    <row r="39" spans="1:48" x14ac:dyDescent="0.2">
      <c r="A39" s="226" t="s">
        <v>583</v>
      </c>
      <c r="B39" s="226"/>
      <c r="C39" s="226" t="s">
        <v>482</v>
      </c>
      <c r="D39" s="226" t="s">
        <v>483</v>
      </c>
      <c r="E39" s="226" t="s">
        <v>176</v>
      </c>
      <c r="F39" s="227">
        <v>3.1059999999999999</v>
      </c>
      <c r="G39" s="227">
        <v>0</v>
      </c>
      <c r="H39" s="227">
        <f>F39*AE39</f>
        <v>0</v>
      </c>
      <c r="I39" s="227">
        <f>J39-H39</f>
        <v>0</v>
      </c>
      <c r="J39" s="227">
        <f>F39*G39</f>
        <v>0</v>
      </c>
      <c r="K39" s="227">
        <v>0</v>
      </c>
      <c r="L39" s="227">
        <f>F39*K39</f>
        <v>0</v>
      </c>
      <c r="M39" s="228" t="s">
        <v>543</v>
      </c>
      <c r="N39" s="239"/>
      <c r="O39" s="239"/>
      <c r="P39" s="259">
        <f>IF(AG39="5",J39,0)</f>
        <v>0</v>
      </c>
      <c r="Q39" s="239"/>
      <c r="R39" s="259">
        <f>IF(AG39="1",H39,0)</f>
        <v>0</v>
      </c>
      <c r="S39" s="259">
        <f>IF(AG39="1",I39,0)</f>
        <v>0</v>
      </c>
      <c r="T39" s="259">
        <f>IF(AG39="7",H39,0)</f>
        <v>0</v>
      </c>
      <c r="U39" s="259">
        <f>IF(AG39="7",I39,0)</f>
        <v>0</v>
      </c>
      <c r="V39" s="259">
        <f>IF(AG39="2",H39,0)</f>
        <v>0</v>
      </c>
      <c r="W39" s="259">
        <f>IF(AG39="2",I39,0)</f>
        <v>0</v>
      </c>
      <c r="X39" s="259">
        <f>IF(AG39="0",J39,0)</f>
        <v>0</v>
      </c>
      <c r="Y39" s="232"/>
      <c r="Z39" s="227">
        <f>IF(AD39=0,J39,0)</f>
        <v>0</v>
      </c>
      <c r="AA39" s="227">
        <f>IF(AD39=15,J39,0)</f>
        <v>0</v>
      </c>
      <c r="AB39" s="227">
        <f>IF(AD39=21,J39,0)</f>
        <v>0</v>
      </c>
      <c r="AC39" s="239"/>
      <c r="AD39" s="259">
        <v>15</v>
      </c>
      <c r="AE39" s="259">
        <f>G39*0.00935142379860922</f>
        <v>0</v>
      </c>
      <c r="AF39" s="259">
        <f>G39*(1-0.00935142379860922)</f>
        <v>0</v>
      </c>
      <c r="AG39" s="228" t="s">
        <v>549</v>
      </c>
      <c r="AH39" s="239"/>
      <c r="AI39" s="239"/>
      <c r="AJ39" s="239"/>
      <c r="AK39" s="239"/>
      <c r="AL39" s="239"/>
      <c r="AM39" s="259">
        <f>F39*AE39</f>
        <v>0</v>
      </c>
      <c r="AN39" s="259">
        <f>F39*AF39</f>
        <v>0</v>
      </c>
      <c r="AO39" s="260" t="s">
        <v>662</v>
      </c>
      <c r="AP39" s="260" t="s">
        <v>658</v>
      </c>
      <c r="AQ39" s="232" t="s">
        <v>652</v>
      </c>
      <c r="AR39" s="239"/>
      <c r="AS39" s="259">
        <f>AM39+AN39</f>
        <v>0</v>
      </c>
      <c r="AT39" s="259">
        <f>G39/(100-AU39)*100</f>
        <v>0</v>
      </c>
      <c r="AU39" s="259">
        <v>0</v>
      </c>
      <c r="AV39" s="259">
        <f>L39</f>
        <v>0</v>
      </c>
    </row>
    <row r="40" spans="1:48" x14ac:dyDescent="0.2">
      <c r="A40" s="226" t="s">
        <v>584</v>
      </c>
      <c r="B40" s="226"/>
      <c r="C40" s="226" t="s">
        <v>585</v>
      </c>
      <c r="D40" s="226" t="s">
        <v>586</v>
      </c>
      <c r="E40" s="226" t="s">
        <v>176</v>
      </c>
      <c r="F40" s="227">
        <v>3.016</v>
      </c>
      <c r="G40" s="227">
        <v>0</v>
      </c>
      <c r="H40" s="227">
        <f>F40*AE40</f>
        <v>0</v>
      </c>
      <c r="I40" s="227">
        <f>J40-H40</f>
        <v>0</v>
      </c>
      <c r="J40" s="227">
        <f>F40*G40</f>
        <v>0</v>
      </c>
      <c r="K40" s="227">
        <v>0</v>
      </c>
      <c r="L40" s="227">
        <f>F40*K40</f>
        <v>0</v>
      </c>
      <c r="M40" s="228" t="s">
        <v>543</v>
      </c>
      <c r="N40" s="239"/>
      <c r="O40" s="239"/>
      <c r="P40" s="259">
        <f>IF(AG40="5",J40,0)</f>
        <v>0</v>
      </c>
      <c r="Q40" s="239"/>
      <c r="R40" s="259">
        <f>IF(AG40="1",H40,0)</f>
        <v>0</v>
      </c>
      <c r="S40" s="259">
        <f>IF(AG40="1",I40,0)</f>
        <v>0</v>
      </c>
      <c r="T40" s="259">
        <f>IF(AG40="7",H40,0)</f>
        <v>0</v>
      </c>
      <c r="U40" s="259">
        <f>IF(AG40="7",I40,0)</f>
        <v>0</v>
      </c>
      <c r="V40" s="259">
        <f>IF(AG40="2",H40,0)</f>
        <v>0</v>
      </c>
      <c r="W40" s="259">
        <f>IF(AG40="2",I40,0)</f>
        <v>0</v>
      </c>
      <c r="X40" s="259">
        <f>IF(AG40="0",J40,0)</f>
        <v>0</v>
      </c>
      <c r="Y40" s="232"/>
      <c r="Z40" s="227">
        <f>IF(AD40=0,J40,0)</f>
        <v>0</v>
      </c>
      <c r="AA40" s="227">
        <f>IF(AD40=15,J40,0)</f>
        <v>0</v>
      </c>
      <c r="AB40" s="227">
        <f>IF(AD40=21,J40,0)</f>
        <v>0</v>
      </c>
      <c r="AC40" s="239"/>
      <c r="AD40" s="259">
        <v>15</v>
      </c>
      <c r="AE40" s="259">
        <f>G40*0.0768059392265193</f>
        <v>0</v>
      </c>
      <c r="AF40" s="259">
        <f>G40*(1-0.0768059392265193)</f>
        <v>0</v>
      </c>
      <c r="AG40" s="228" t="s">
        <v>549</v>
      </c>
      <c r="AH40" s="239"/>
      <c r="AI40" s="239"/>
      <c r="AJ40" s="239"/>
      <c r="AK40" s="239"/>
      <c r="AL40" s="239"/>
      <c r="AM40" s="259">
        <f>F40*AE40</f>
        <v>0</v>
      </c>
      <c r="AN40" s="259">
        <f>F40*AF40</f>
        <v>0</v>
      </c>
      <c r="AO40" s="260" t="s">
        <v>662</v>
      </c>
      <c r="AP40" s="260" t="s">
        <v>658</v>
      </c>
      <c r="AQ40" s="232" t="s">
        <v>652</v>
      </c>
      <c r="AR40" s="239"/>
      <c r="AS40" s="259">
        <f>AM40+AN40</f>
        <v>0</v>
      </c>
      <c r="AT40" s="259">
        <f>G40/(100-AU40)*100</f>
        <v>0</v>
      </c>
      <c r="AU40" s="259">
        <v>0</v>
      </c>
      <c r="AV40" s="259">
        <f>L40</f>
        <v>0</v>
      </c>
    </row>
    <row r="41" spans="1:48" x14ac:dyDescent="0.2">
      <c r="A41" s="229"/>
      <c r="B41" s="230"/>
      <c r="C41" s="230" t="s">
        <v>587</v>
      </c>
      <c r="D41" s="230" t="s">
        <v>588</v>
      </c>
      <c r="E41" s="229" t="s">
        <v>517</v>
      </c>
      <c r="F41" s="229" t="s">
        <v>517</v>
      </c>
      <c r="G41" s="229" t="s">
        <v>517</v>
      </c>
      <c r="H41" s="231">
        <f>SUM(H42:H43)</f>
        <v>0</v>
      </c>
      <c r="I41" s="231">
        <f>SUM(I42:I43)</f>
        <v>0</v>
      </c>
      <c r="J41" s="231">
        <f>H41+I41</f>
        <v>0</v>
      </c>
      <c r="K41" s="232"/>
      <c r="L41" s="231">
        <f>SUM(L42:L43)</f>
        <v>0.51644999999999996</v>
      </c>
      <c r="M41" s="232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39"/>
      <c r="Y41" s="232"/>
      <c r="Z41" s="239"/>
      <c r="AA41" s="239"/>
      <c r="AB41" s="239"/>
      <c r="AC41" s="239"/>
      <c r="AD41" s="239"/>
      <c r="AE41" s="239"/>
      <c r="AF41" s="239"/>
      <c r="AG41" s="239"/>
      <c r="AH41" s="239"/>
      <c r="AI41" s="231">
        <f>SUM(Z42:Z43)</f>
        <v>0</v>
      </c>
      <c r="AJ41" s="231">
        <f>SUM(AA42:AA43)</f>
        <v>0</v>
      </c>
      <c r="AK41" s="231">
        <f>SUM(AB42:AB43)</f>
        <v>0</v>
      </c>
      <c r="AL41" s="239"/>
      <c r="AM41" s="239"/>
      <c r="AN41" s="239"/>
      <c r="AO41" s="239"/>
      <c r="AP41" s="239"/>
      <c r="AQ41" s="239"/>
      <c r="AR41" s="239"/>
      <c r="AS41" s="239"/>
      <c r="AT41" s="239"/>
      <c r="AU41" s="239"/>
      <c r="AV41" s="239"/>
    </row>
    <row r="42" spans="1:48" x14ac:dyDescent="0.2">
      <c r="A42" s="226" t="s">
        <v>589</v>
      </c>
      <c r="B42" s="226"/>
      <c r="C42" s="226" t="s">
        <v>590</v>
      </c>
      <c r="D42" s="226" t="s">
        <v>591</v>
      </c>
      <c r="E42" s="226" t="s">
        <v>131</v>
      </c>
      <c r="F42" s="227">
        <v>34.43</v>
      </c>
      <c r="G42" s="227">
        <v>0</v>
      </c>
      <c r="H42" s="227">
        <f>F42*AE42</f>
        <v>0</v>
      </c>
      <c r="I42" s="227">
        <f>J42-H42</f>
        <v>0</v>
      </c>
      <c r="J42" s="227">
        <f>F42*G42</f>
        <v>0</v>
      </c>
      <c r="K42" s="227">
        <v>1.4999999999999999E-2</v>
      </c>
      <c r="L42" s="227">
        <f>F42*K42</f>
        <v>0.51644999999999996</v>
      </c>
      <c r="M42" s="228"/>
      <c r="N42" s="239"/>
      <c r="O42" s="239"/>
      <c r="P42" s="259">
        <f>IF(AG42="5",J42,0)</f>
        <v>0</v>
      </c>
      <c r="Q42" s="239"/>
      <c r="R42" s="259">
        <f>IF(AG42="1",H42,0)</f>
        <v>0</v>
      </c>
      <c r="S42" s="259">
        <f>IF(AG42="1",I42,0)</f>
        <v>0</v>
      </c>
      <c r="T42" s="259">
        <f>IF(AG42="7",H42,0)</f>
        <v>0</v>
      </c>
      <c r="U42" s="259">
        <f>IF(AG42="7",I42,0)</f>
        <v>0</v>
      </c>
      <c r="V42" s="259">
        <f>IF(AG42="2",H42,0)</f>
        <v>0</v>
      </c>
      <c r="W42" s="259">
        <f>IF(AG42="2",I42,0)</f>
        <v>0</v>
      </c>
      <c r="X42" s="259">
        <f>IF(AG42="0",J42,0)</f>
        <v>0</v>
      </c>
      <c r="Y42" s="232"/>
      <c r="Z42" s="227">
        <f>IF(AD42=0,J42,0)</f>
        <v>0</v>
      </c>
      <c r="AA42" s="227">
        <f>IF(AD42=15,J42,0)</f>
        <v>0</v>
      </c>
      <c r="AB42" s="227">
        <f>IF(AD42=21,J42,0)</f>
        <v>0</v>
      </c>
      <c r="AC42" s="239"/>
      <c r="AD42" s="259">
        <v>15</v>
      </c>
      <c r="AE42" s="259">
        <f>G42*1</f>
        <v>0</v>
      </c>
      <c r="AF42" s="259">
        <f>G42*(1-1)</f>
        <v>0</v>
      </c>
      <c r="AG42" s="228" t="s">
        <v>542</v>
      </c>
      <c r="AH42" s="239"/>
      <c r="AI42" s="239"/>
      <c r="AJ42" s="239"/>
      <c r="AK42" s="239"/>
      <c r="AL42" s="239"/>
      <c r="AM42" s="259">
        <f>F42*AE42</f>
        <v>0</v>
      </c>
      <c r="AN42" s="259">
        <f>F42*AF42</f>
        <v>0</v>
      </c>
      <c r="AO42" s="260" t="s">
        <v>663</v>
      </c>
      <c r="AP42" s="260" t="s">
        <v>664</v>
      </c>
      <c r="AQ42" s="232" t="s">
        <v>652</v>
      </c>
      <c r="AR42" s="239"/>
      <c r="AS42" s="259">
        <f>AM42+AN42</f>
        <v>0</v>
      </c>
      <c r="AT42" s="259">
        <f>G42/(100-AU42)*100</f>
        <v>0</v>
      </c>
      <c r="AU42" s="259">
        <v>0</v>
      </c>
      <c r="AV42" s="259">
        <f>L42</f>
        <v>0.51644999999999996</v>
      </c>
    </row>
    <row r="43" spans="1:48" x14ac:dyDescent="0.2">
      <c r="A43" s="226" t="s">
        <v>592</v>
      </c>
      <c r="B43" s="226"/>
      <c r="C43" s="226" t="s">
        <v>593</v>
      </c>
      <c r="D43" s="226" t="s">
        <v>594</v>
      </c>
      <c r="E43" s="226" t="s">
        <v>176</v>
      </c>
      <c r="F43" s="227">
        <v>1.97</v>
      </c>
      <c r="G43" s="227">
        <v>0</v>
      </c>
      <c r="H43" s="227">
        <f>F43*AE43</f>
        <v>0</v>
      </c>
      <c r="I43" s="227">
        <f>J43-H43</f>
        <v>0</v>
      </c>
      <c r="J43" s="227">
        <f>F43*G43</f>
        <v>0</v>
      </c>
      <c r="K43" s="227">
        <v>0</v>
      </c>
      <c r="L43" s="227">
        <f>F43*K43</f>
        <v>0</v>
      </c>
      <c r="M43" s="228"/>
      <c r="N43" s="239"/>
      <c r="O43" s="239"/>
      <c r="P43" s="259">
        <f>IF(AG43="5",J43,0)</f>
        <v>0</v>
      </c>
      <c r="Q43" s="239"/>
      <c r="R43" s="259">
        <f>IF(AG43="1",H43,0)</f>
        <v>0</v>
      </c>
      <c r="S43" s="259">
        <f>IF(AG43="1",I43,0)</f>
        <v>0</v>
      </c>
      <c r="T43" s="259">
        <f>IF(AG43="7",H43,0)</f>
        <v>0</v>
      </c>
      <c r="U43" s="259">
        <f>IF(AG43="7",I43,0)</f>
        <v>0</v>
      </c>
      <c r="V43" s="259">
        <f>IF(AG43="2",H43,0)</f>
        <v>0</v>
      </c>
      <c r="W43" s="259">
        <f>IF(AG43="2",I43,0)</f>
        <v>0</v>
      </c>
      <c r="X43" s="259">
        <f>IF(AG43="0",J43,0)</f>
        <v>0</v>
      </c>
      <c r="Y43" s="232"/>
      <c r="Z43" s="227">
        <f>IF(AD43=0,J43,0)</f>
        <v>0</v>
      </c>
      <c r="AA43" s="227">
        <f>IF(AD43=15,J43,0)</f>
        <v>0</v>
      </c>
      <c r="AB43" s="227">
        <f>IF(AD43=21,J43,0)</f>
        <v>0</v>
      </c>
      <c r="AC43" s="239"/>
      <c r="AD43" s="259">
        <v>15</v>
      </c>
      <c r="AE43" s="259">
        <f>G43*1</f>
        <v>0</v>
      </c>
      <c r="AF43" s="259">
        <f>G43*(1-1)</f>
        <v>0</v>
      </c>
      <c r="AG43" s="228" t="s">
        <v>542</v>
      </c>
      <c r="AH43" s="239"/>
      <c r="AI43" s="239"/>
      <c r="AJ43" s="239"/>
      <c r="AK43" s="239"/>
      <c r="AL43" s="239"/>
      <c r="AM43" s="259">
        <f>F43*AE43</f>
        <v>0</v>
      </c>
      <c r="AN43" s="259">
        <f>F43*AF43</f>
        <v>0</v>
      </c>
      <c r="AO43" s="260" t="s">
        <v>663</v>
      </c>
      <c r="AP43" s="260" t="s">
        <v>664</v>
      </c>
      <c r="AQ43" s="232" t="s">
        <v>652</v>
      </c>
      <c r="AR43" s="239"/>
      <c r="AS43" s="259">
        <f>AM43+AN43</f>
        <v>0</v>
      </c>
      <c r="AT43" s="259">
        <f>G43/(100-AU43)*100</f>
        <v>0</v>
      </c>
      <c r="AU43" s="259">
        <v>0</v>
      </c>
      <c r="AV43" s="259">
        <f>L43</f>
        <v>0</v>
      </c>
    </row>
    <row r="44" spans="1:48" x14ac:dyDescent="0.2">
      <c r="A44" s="229"/>
      <c r="B44" s="230"/>
      <c r="C44" s="230" t="s">
        <v>68</v>
      </c>
      <c r="D44" s="230" t="s">
        <v>595</v>
      </c>
      <c r="E44" s="229" t="s">
        <v>517</v>
      </c>
      <c r="F44" s="229" t="s">
        <v>517</v>
      </c>
      <c r="G44" s="229" t="s">
        <v>517</v>
      </c>
      <c r="H44" s="231">
        <f>SUM(H45:H45)</f>
        <v>0</v>
      </c>
      <c r="I44" s="231">
        <f>SUM(I45:I45)</f>
        <v>0</v>
      </c>
      <c r="J44" s="231">
        <f>H44+I44</f>
        <v>0</v>
      </c>
      <c r="K44" s="232"/>
      <c r="L44" s="231">
        <f>SUM(L45:L45)</f>
        <v>0.88931000000000004</v>
      </c>
      <c r="M44" s="232"/>
      <c r="N44" s="239"/>
      <c r="O44" s="239"/>
      <c r="P44" s="239"/>
      <c r="Q44" s="239"/>
      <c r="R44" s="239"/>
      <c r="S44" s="239"/>
      <c r="T44" s="239"/>
      <c r="U44" s="239"/>
      <c r="V44" s="239"/>
      <c r="W44" s="239"/>
      <c r="X44" s="239"/>
      <c r="Y44" s="232"/>
      <c r="Z44" s="239"/>
      <c r="AA44" s="239"/>
      <c r="AB44" s="239"/>
      <c r="AC44" s="239"/>
      <c r="AD44" s="239"/>
      <c r="AE44" s="239"/>
      <c r="AF44" s="239"/>
      <c r="AG44" s="239"/>
      <c r="AH44" s="239"/>
      <c r="AI44" s="231">
        <f>SUM(Z45:Z45)</f>
        <v>0</v>
      </c>
      <c r="AJ44" s="231">
        <f>SUM(AA45:AA45)</f>
        <v>0</v>
      </c>
      <c r="AK44" s="231">
        <f>SUM(AB45:AB45)</f>
        <v>0</v>
      </c>
      <c r="AL44" s="239"/>
      <c r="AM44" s="239"/>
      <c r="AN44" s="239"/>
      <c r="AO44" s="239"/>
      <c r="AP44" s="239"/>
      <c r="AQ44" s="239"/>
      <c r="AR44" s="239"/>
      <c r="AS44" s="239"/>
      <c r="AT44" s="239"/>
      <c r="AU44" s="239"/>
      <c r="AV44" s="239"/>
    </row>
    <row r="45" spans="1:48" x14ac:dyDescent="0.2">
      <c r="A45" s="233" t="s">
        <v>596</v>
      </c>
      <c r="B45" s="233"/>
      <c r="C45" s="233" t="s">
        <v>597</v>
      </c>
      <c r="D45" s="233" t="s">
        <v>598</v>
      </c>
      <c r="E45" s="233" t="s">
        <v>131</v>
      </c>
      <c r="F45" s="234">
        <v>56.5</v>
      </c>
      <c r="G45" s="234">
        <v>0</v>
      </c>
      <c r="H45" s="234">
        <f>F45*AE45</f>
        <v>0</v>
      </c>
      <c r="I45" s="234">
        <f>J45-H45</f>
        <v>0</v>
      </c>
      <c r="J45" s="234">
        <f>F45*G45</f>
        <v>0</v>
      </c>
      <c r="K45" s="234">
        <v>1.5740000000000001E-2</v>
      </c>
      <c r="L45" s="234">
        <f>F45*K45</f>
        <v>0.88931000000000004</v>
      </c>
      <c r="M45" s="235" t="s">
        <v>543</v>
      </c>
      <c r="N45" s="239"/>
      <c r="O45" s="239"/>
      <c r="P45" s="259">
        <f>IF(AG45="5",J45,0)</f>
        <v>0</v>
      </c>
      <c r="Q45" s="239"/>
      <c r="R45" s="259">
        <f>IF(AG45="1",H45,0)</f>
        <v>0</v>
      </c>
      <c r="S45" s="259">
        <f>IF(AG45="1",I45,0)</f>
        <v>0</v>
      </c>
      <c r="T45" s="259">
        <f>IF(AG45="7",H45,0)</f>
        <v>0</v>
      </c>
      <c r="U45" s="259">
        <f>IF(AG45="7",I45,0)</f>
        <v>0</v>
      </c>
      <c r="V45" s="259">
        <f>IF(AG45="2",H45,0)</f>
        <v>0</v>
      </c>
      <c r="W45" s="259">
        <f>IF(AG45="2",I45,0)</f>
        <v>0</v>
      </c>
      <c r="X45" s="259">
        <f>IF(AG45="0",J45,0)</f>
        <v>0</v>
      </c>
      <c r="Y45" s="232"/>
      <c r="Z45" s="227">
        <f>IF(AD45=0,J45,0)</f>
        <v>0</v>
      </c>
      <c r="AA45" s="227">
        <f>IF(AD45=15,J45,0)</f>
        <v>0</v>
      </c>
      <c r="AB45" s="227">
        <f>IF(AD45=21,J45,0)</f>
        <v>0</v>
      </c>
      <c r="AC45" s="239"/>
      <c r="AD45" s="259">
        <v>15</v>
      </c>
      <c r="AE45" s="259">
        <f>G45*0.172401215805471</f>
        <v>0</v>
      </c>
      <c r="AF45" s="259">
        <f>G45*(1-0.172401215805471)</f>
        <v>0</v>
      </c>
      <c r="AG45" s="228" t="s">
        <v>542</v>
      </c>
      <c r="AH45" s="239"/>
      <c r="AI45" s="239"/>
      <c r="AJ45" s="239"/>
      <c r="AK45" s="239"/>
      <c r="AL45" s="239"/>
      <c r="AM45" s="259">
        <f>F45*AE45</f>
        <v>0</v>
      </c>
      <c r="AN45" s="259">
        <f>F45*AF45</f>
        <v>0</v>
      </c>
      <c r="AO45" s="260" t="s">
        <v>665</v>
      </c>
      <c r="AP45" s="260" t="s">
        <v>651</v>
      </c>
      <c r="AQ45" s="232" t="s">
        <v>652</v>
      </c>
      <c r="AR45" s="239"/>
      <c r="AS45" s="259">
        <f>AM45+AN45</f>
        <v>0</v>
      </c>
      <c r="AT45" s="259">
        <f>G45/(100-AU45)*100</f>
        <v>0</v>
      </c>
      <c r="AU45" s="259">
        <v>0</v>
      </c>
      <c r="AV45" s="259">
        <f>L45</f>
        <v>0.88931000000000004</v>
      </c>
    </row>
    <row r="46" spans="1:48" x14ac:dyDescent="0.2">
      <c r="A46" s="236"/>
      <c r="B46" s="236"/>
      <c r="C46" s="236"/>
      <c r="D46" s="236"/>
      <c r="E46" s="236"/>
      <c r="F46" s="236"/>
      <c r="G46" s="236"/>
      <c r="H46" s="306" t="s">
        <v>599</v>
      </c>
      <c r="I46" s="307"/>
      <c r="J46" s="237">
        <f>J12+J14+J21+J27+J29+J32+J34+J36+J41+J44</f>
        <v>0</v>
      </c>
      <c r="K46" s="236"/>
      <c r="L46" s="236"/>
      <c r="M46" s="236"/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G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</row>
    <row r="47" spans="1:48" x14ac:dyDescent="0.2">
      <c r="A47" s="238" t="s">
        <v>600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239"/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</row>
    <row r="48" spans="1:48" x14ac:dyDescent="0.2">
      <c r="A48" s="300"/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</row>
    <row r="49" spans="1:48" x14ac:dyDescent="0.2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39"/>
      <c r="R49" s="239"/>
      <c r="S49" s="239"/>
      <c r="T49" s="239"/>
      <c r="U49" s="239"/>
      <c r="V49" s="239"/>
      <c r="W49" s="239"/>
      <c r="X49" s="239"/>
      <c r="Y49" s="239"/>
      <c r="Z49" s="239"/>
      <c r="AA49" s="239"/>
      <c r="AB49" s="239"/>
      <c r="AC49" s="239"/>
      <c r="AD49" s="239"/>
      <c r="AE49" s="239"/>
      <c r="AF49" s="239"/>
      <c r="AG49" s="239"/>
      <c r="AH49" s="239"/>
      <c r="AI49" s="239"/>
      <c r="AJ49" s="239"/>
      <c r="AK49" s="239"/>
      <c r="AL49" s="239"/>
      <c r="AM49" s="239"/>
      <c r="AN49" s="239"/>
      <c r="AO49" s="239"/>
      <c r="AP49" s="239"/>
      <c r="AQ49" s="239"/>
      <c r="AR49" s="239"/>
      <c r="AS49" s="239"/>
      <c r="AT49" s="239"/>
      <c r="AU49" s="239"/>
      <c r="AV49" s="239"/>
    </row>
    <row r="50" spans="1:48" x14ac:dyDescent="0.2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G50" s="239"/>
      <c r="AH50" s="239"/>
      <c r="AI50" s="239"/>
      <c r="AJ50" s="239"/>
      <c r="AK50" s="239"/>
      <c r="AL50" s="239"/>
      <c r="AM50" s="239"/>
      <c r="AN50" s="239"/>
      <c r="AO50" s="239"/>
      <c r="AP50" s="239"/>
      <c r="AQ50" s="239"/>
      <c r="AR50" s="239"/>
      <c r="AS50" s="239"/>
      <c r="AT50" s="239"/>
      <c r="AU50" s="239"/>
      <c r="AV50" s="239"/>
    </row>
    <row r="51" spans="1:48" x14ac:dyDescent="0.2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  <c r="S51" s="239"/>
      <c r="T51" s="239"/>
      <c r="U51" s="239"/>
      <c r="V51" s="239"/>
      <c r="W51" s="239"/>
      <c r="X51" s="239"/>
      <c r="Y51" s="239"/>
      <c r="Z51" s="239"/>
      <c r="AA51" s="239"/>
      <c r="AB51" s="239"/>
      <c r="AC51" s="239"/>
      <c r="AD51" s="239"/>
      <c r="AE51" s="239"/>
      <c r="AF51" s="239"/>
      <c r="AG51" s="239"/>
      <c r="AH51" s="239"/>
      <c r="AI51" s="239"/>
      <c r="AJ51" s="239"/>
      <c r="AK51" s="239"/>
      <c r="AL51" s="239"/>
      <c r="AM51" s="239"/>
      <c r="AN51" s="239"/>
      <c r="AO51" s="239"/>
      <c r="AP51" s="239"/>
      <c r="AQ51" s="239"/>
      <c r="AR51" s="239"/>
      <c r="AS51" s="239"/>
      <c r="AT51" s="239"/>
      <c r="AU51" s="239"/>
      <c r="AV51" s="239"/>
    </row>
    <row r="52" spans="1:48" x14ac:dyDescent="0.2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39"/>
      <c r="AH52" s="239"/>
      <c r="AI52" s="239"/>
      <c r="AJ52" s="239"/>
      <c r="AK52" s="239"/>
      <c r="AL52" s="239"/>
      <c r="AM52" s="239"/>
      <c r="AN52" s="239"/>
      <c r="AO52" s="239"/>
      <c r="AP52" s="239"/>
      <c r="AQ52" s="239"/>
      <c r="AR52" s="239"/>
      <c r="AS52" s="239"/>
      <c r="AT52" s="239"/>
      <c r="AU52" s="239"/>
      <c r="AV52" s="239"/>
    </row>
    <row r="53" spans="1:48" x14ac:dyDescent="0.2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N53" s="239"/>
      <c r="AO53" s="239"/>
      <c r="AP53" s="239"/>
      <c r="AQ53" s="239"/>
      <c r="AR53" s="239"/>
      <c r="AS53" s="239"/>
      <c r="AT53" s="239"/>
      <c r="AU53" s="239"/>
      <c r="AV53" s="239"/>
    </row>
  </sheetData>
  <mergeCells count="29">
    <mergeCell ref="H10:J10"/>
    <mergeCell ref="K10:L10"/>
    <mergeCell ref="H46:I46"/>
    <mergeCell ref="A48:M48"/>
    <mergeCell ref="A8:C9"/>
    <mergeCell ref="D8:D9"/>
    <mergeCell ref="E8:F9"/>
    <mergeCell ref="G8:H9"/>
    <mergeCell ref="I8:I9"/>
    <mergeCell ref="J8:M9"/>
    <mergeCell ref="J6:M7"/>
    <mergeCell ref="A4:C5"/>
    <mergeCell ref="D4:D5"/>
    <mergeCell ref="E4:F5"/>
    <mergeCell ref="G4:H5"/>
    <mergeCell ref="I4:I5"/>
    <mergeCell ref="J4:M5"/>
    <mergeCell ref="A6:C7"/>
    <mergeCell ref="D6:D7"/>
    <mergeCell ref="E6:F7"/>
    <mergeCell ref="G6:H7"/>
    <mergeCell ref="I6:I7"/>
    <mergeCell ref="A1:M1"/>
    <mergeCell ref="A2:C3"/>
    <mergeCell ref="D2:D3"/>
    <mergeCell ref="E2:F3"/>
    <mergeCell ref="G2:H3"/>
    <mergeCell ref="I2:I3"/>
    <mergeCell ref="J2:M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O25"/>
  <sheetViews>
    <sheetView workbookViewId="0">
      <selection activeCell="G26" sqref="G26"/>
    </sheetView>
  </sheetViews>
  <sheetFormatPr defaultRowHeight="12.75" x14ac:dyDescent="0.2"/>
  <cols>
    <col min="3" max="3" width="41.5703125" customWidth="1"/>
    <col min="4" max="4" width="14.85546875" customWidth="1"/>
    <col min="5" max="5" width="14.7109375" customWidth="1"/>
    <col min="6" max="6" width="13.85546875" customWidth="1"/>
    <col min="7" max="7" width="12.7109375" customWidth="1"/>
  </cols>
  <sheetData>
    <row r="1" spans="1:15" ht="23.25" x14ac:dyDescent="0.35">
      <c r="A1" s="288" t="s">
        <v>675</v>
      </c>
      <c r="B1" s="289"/>
      <c r="C1" s="289"/>
      <c r="D1" s="289"/>
      <c r="E1" s="289"/>
      <c r="F1" s="289"/>
      <c r="G1" s="289"/>
      <c r="H1" s="239"/>
      <c r="I1" s="239"/>
      <c r="J1" s="239"/>
      <c r="K1" s="239"/>
      <c r="L1" s="239"/>
      <c r="M1" s="239"/>
      <c r="N1" s="239"/>
      <c r="O1" s="239"/>
    </row>
    <row r="2" spans="1:15" x14ac:dyDescent="0.2">
      <c r="A2" s="290" t="s">
        <v>514</v>
      </c>
      <c r="B2" s="294" t="str">
        <f>'Stavební rozpočet'!D2</f>
        <v>2. ZŠ Milevsko vstup</v>
      </c>
      <c r="C2" s="307"/>
      <c r="D2" s="297" t="s">
        <v>23</v>
      </c>
      <c r="E2" s="297" t="str">
        <f>'Stavební rozpočet'!J2</f>
        <v xml:space="preserve"> </v>
      </c>
      <c r="F2" s="291"/>
      <c r="G2" s="298"/>
      <c r="H2" s="257"/>
      <c r="I2" s="239"/>
      <c r="J2" s="239"/>
      <c r="K2" s="239"/>
      <c r="L2" s="239"/>
      <c r="M2" s="239"/>
      <c r="N2" s="239"/>
      <c r="O2" s="239"/>
    </row>
    <row r="3" spans="1:15" x14ac:dyDescent="0.2">
      <c r="A3" s="292"/>
      <c r="B3" s="295"/>
      <c r="C3" s="295"/>
      <c r="D3" s="293"/>
      <c r="E3" s="293"/>
      <c r="F3" s="293"/>
      <c r="G3" s="299"/>
      <c r="H3" s="257"/>
      <c r="I3" s="239"/>
      <c r="J3" s="239"/>
      <c r="K3" s="239"/>
      <c r="L3" s="239"/>
      <c r="M3" s="239"/>
      <c r="N3" s="239"/>
      <c r="O3" s="239"/>
    </row>
    <row r="4" spans="1:15" x14ac:dyDescent="0.2">
      <c r="A4" s="301" t="s">
        <v>518</v>
      </c>
      <c r="B4" s="300" t="str">
        <f>'Stavební rozpočet'!D4</f>
        <v>Rekonstrukce</v>
      </c>
      <c r="C4" s="293"/>
      <c r="D4" s="300" t="s">
        <v>21</v>
      </c>
      <c r="E4" s="300" t="str">
        <f>'Stavební rozpočet'!J4</f>
        <v xml:space="preserve"> </v>
      </c>
      <c r="F4" s="293"/>
      <c r="G4" s="299"/>
      <c r="H4" s="257"/>
      <c r="I4" s="239"/>
      <c r="J4" s="239"/>
      <c r="K4" s="239"/>
      <c r="L4" s="239"/>
      <c r="M4" s="239"/>
      <c r="N4" s="239"/>
      <c r="O4" s="239"/>
    </row>
    <row r="5" spans="1:15" x14ac:dyDescent="0.2">
      <c r="A5" s="292"/>
      <c r="B5" s="293"/>
      <c r="C5" s="293"/>
      <c r="D5" s="293"/>
      <c r="E5" s="293"/>
      <c r="F5" s="293"/>
      <c r="G5" s="299"/>
      <c r="H5" s="257"/>
      <c r="I5" s="239"/>
      <c r="J5" s="239"/>
      <c r="K5" s="239"/>
      <c r="L5" s="239"/>
      <c r="M5" s="239"/>
      <c r="N5" s="239"/>
      <c r="O5" s="239"/>
    </row>
    <row r="6" spans="1:15" x14ac:dyDescent="0.2">
      <c r="A6" s="301" t="s">
        <v>522</v>
      </c>
      <c r="B6" s="300" t="str">
        <f>'Stavební rozpočet'!D6</f>
        <v>Milevsko</v>
      </c>
      <c r="C6" s="293"/>
      <c r="D6" s="300" t="s">
        <v>20</v>
      </c>
      <c r="E6" s="300" t="str">
        <f>'Stavební rozpočet'!J6</f>
        <v xml:space="preserve"> </v>
      </c>
      <c r="F6" s="293"/>
      <c r="G6" s="299"/>
      <c r="H6" s="257"/>
      <c r="I6" s="239"/>
      <c r="J6" s="239"/>
      <c r="K6" s="239"/>
      <c r="L6" s="239"/>
      <c r="M6" s="239"/>
      <c r="N6" s="239"/>
      <c r="O6" s="239"/>
    </row>
    <row r="7" spans="1:15" x14ac:dyDescent="0.2">
      <c r="A7" s="292"/>
      <c r="B7" s="293"/>
      <c r="C7" s="293"/>
      <c r="D7" s="293"/>
      <c r="E7" s="293"/>
      <c r="F7" s="293"/>
      <c r="G7" s="299"/>
      <c r="H7" s="257"/>
      <c r="I7" s="239"/>
      <c r="J7" s="239"/>
      <c r="K7" s="239"/>
      <c r="L7" s="239"/>
      <c r="M7" s="239"/>
      <c r="N7" s="239"/>
      <c r="O7" s="239"/>
    </row>
    <row r="8" spans="1:15" x14ac:dyDescent="0.2">
      <c r="A8" s="301" t="s">
        <v>526</v>
      </c>
      <c r="B8" s="300" t="str">
        <f>'[2]Stavební rozpočet'!J8</f>
        <v xml:space="preserve"> </v>
      </c>
      <c r="C8" s="293"/>
      <c r="D8" s="302" t="s">
        <v>525</v>
      </c>
      <c r="E8" s="311" t="str">
        <f>'Stavební rozpočet'!G8</f>
        <v>04.04.2019</v>
      </c>
      <c r="F8" s="293"/>
      <c r="G8" s="299"/>
      <c r="H8" s="257"/>
      <c r="I8" s="239"/>
      <c r="J8" s="239"/>
      <c r="K8" s="239"/>
      <c r="L8" s="239"/>
      <c r="M8" s="239"/>
      <c r="N8" s="239"/>
      <c r="O8" s="239"/>
    </row>
    <row r="9" spans="1:15" ht="13.5" thickBot="1" x14ac:dyDescent="0.25">
      <c r="A9" s="308"/>
      <c r="B9" s="309"/>
      <c r="C9" s="309"/>
      <c r="D9" s="309"/>
      <c r="E9" s="309"/>
      <c r="F9" s="309"/>
      <c r="G9" s="310"/>
      <c r="H9" s="257"/>
      <c r="I9" s="239"/>
      <c r="J9" s="239"/>
      <c r="K9" s="239"/>
      <c r="L9" s="239"/>
      <c r="M9" s="239"/>
      <c r="N9" s="239"/>
      <c r="O9" s="239"/>
    </row>
    <row r="10" spans="1:15" ht="13.5" thickBot="1" x14ac:dyDescent="0.25">
      <c r="A10" s="270" t="s">
        <v>528</v>
      </c>
      <c r="B10" s="271" t="s">
        <v>529</v>
      </c>
      <c r="C10" s="272" t="s">
        <v>530</v>
      </c>
      <c r="D10" s="273" t="s">
        <v>676</v>
      </c>
      <c r="E10" s="273" t="s">
        <v>677</v>
      </c>
      <c r="F10" s="273" t="s">
        <v>678</v>
      </c>
      <c r="G10" s="274" t="s">
        <v>679</v>
      </c>
      <c r="H10" s="258"/>
      <c r="I10" s="239"/>
      <c r="J10" s="239"/>
      <c r="K10" s="239"/>
      <c r="L10" s="239"/>
      <c r="M10" s="239"/>
      <c r="N10" s="239"/>
      <c r="O10" s="239"/>
    </row>
    <row r="11" spans="1:15" x14ac:dyDescent="0.2">
      <c r="A11" s="275"/>
      <c r="B11" s="275" t="s">
        <v>70</v>
      </c>
      <c r="C11" s="275" t="s">
        <v>71</v>
      </c>
      <c r="D11" s="276">
        <f>'Stavební rozpočet'!H12</f>
        <v>0</v>
      </c>
      <c r="E11" s="276">
        <f>'Stavební rozpočet'!I12</f>
        <v>0</v>
      </c>
      <c r="F11" s="276">
        <f t="shared" ref="F11:F20" si="0">D11+E11</f>
        <v>0</v>
      </c>
      <c r="G11" s="276">
        <f>'Stavební rozpočet'!L12</f>
        <v>2.6764999999999999</v>
      </c>
      <c r="H11" s="259" t="s">
        <v>680</v>
      </c>
      <c r="I11" s="259">
        <f t="shared" ref="I11:I20" si="1">IF(H11="F",0,F11)</f>
        <v>0</v>
      </c>
      <c r="J11" s="239"/>
      <c r="K11" s="239"/>
      <c r="L11" s="239"/>
      <c r="M11" s="239"/>
      <c r="N11" s="239"/>
      <c r="O11" s="239"/>
    </row>
    <row r="12" spans="1:15" x14ac:dyDescent="0.2">
      <c r="A12" s="269"/>
      <c r="B12" s="269" t="s">
        <v>94</v>
      </c>
      <c r="C12" s="269" t="s">
        <v>544</v>
      </c>
      <c r="D12" s="259">
        <f>'Stavební rozpočet'!H14</f>
        <v>0</v>
      </c>
      <c r="E12" s="259">
        <f>'Stavební rozpočet'!I14</f>
        <v>0</v>
      </c>
      <c r="F12" s="259">
        <f t="shared" si="0"/>
        <v>0</v>
      </c>
      <c r="G12" s="259">
        <f>'Stavební rozpočet'!L14</f>
        <v>0.10447500000000001</v>
      </c>
      <c r="H12" s="259" t="s">
        <v>680</v>
      </c>
      <c r="I12" s="259">
        <f t="shared" si="1"/>
        <v>0</v>
      </c>
      <c r="J12" s="239"/>
      <c r="K12" s="239"/>
      <c r="L12" s="239"/>
      <c r="M12" s="239"/>
      <c r="N12" s="239"/>
      <c r="O12" s="239"/>
    </row>
    <row r="13" spans="1:15" x14ac:dyDescent="0.2">
      <c r="A13" s="269"/>
      <c r="B13" s="269" t="s">
        <v>102</v>
      </c>
      <c r="C13" s="269" t="s">
        <v>103</v>
      </c>
      <c r="D13" s="259">
        <f>'Stavební rozpočet'!H21</f>
        <v>0</v>
      </c>
      <c r="E13" s="259">
        <f>'Stavební rozpočet'!I21</f>
        <v>0</v>
      </c>
      <c r="F13" s="259">
        <f t="shared" si="0"/>
        <v>0</v>
      </c>
      <c r="G13" s="259">
        <f>'Stavební rozpočet'!L21</f>
        <v>2.3438000000000001E-2</v>
      </c>
      <c r="H13" s="259" t="s">
        <v>680</v>
      </c>
      <c r="I13" s="259">
        <f t="shared" si="1"/>
        <v>0</v>
      </c>
      <c r="J13" s="239"/>
      <c r="K13" s="239"/>
      <c r="L13" s="239"/>
      <c r="M13" s="239"/>
      <c r="N13" s="239"/>
      <c r="O13" s="239"/>
    </row>
    <row r="14" spans="1:15" x14ac:dyDescent="0.2">
      <c r="A14" s="269"/>
      <c r="B14" s="269" t="s">
        <v>74</v>
      </c>
      <c r="C14" s="269" t="s">
        <v>568</v>
      </c>
      <c r="D14" s="259">
        <f>'Stavební rozpočet'!H27</f>
        <v>0</v>
      </c>
      <c r="E14" s="259">
        <f>'Stavební rozpočet'!I27</f>
        <v>0</v>
      </c>
      <c r="F14" s="259">
        <f t="shared" si="0"/>
        <v>0</v>
      </c>
      <c r="G14" s="259">
        <f>'Stavební rozpočet'!L27</f>
        <v>7.7200000000000012E-4</v>
      </c>
      <c r="H14" s="259" t="s">
        <v>680</v>
      </c>
      <c r="I14" s="259">
        <f t="shared" si="1"/>
        <v>0</v>
      </c>
      <c r="J14" s="239"/>
      <c r="K14" s="239"/>
      <c r="L14" s="239"/>
      <c r="M14" s="239"/>
      <c r="N14" s="239"/>
      <c r="O14" s="239"/>
    </row>
    <row r="15" spans="1:15" x14ac:dyDescent="0.2">
      <c r="A15" s="269"/>
      <c r="B15" s="269" t="s">
        <v>76</v>
      </c>
      <c r="C15" s="269" t="s">
        <v>77</v>
      </c>
      <c r="D15" s="259">
        <f>'Stavební rozpočet'!H29</f>
        <v>0</v>
      </c>
      <c r="E15" s="259">
        <f>'Stavební rozpočet'!I29</f>
        <v>0</v>
      </c>
      <c r="F15" s="259">
        <f t="shared" si="0"/>
        <v>0</v>
      </c>
      <c r="G15" s="259">
        <f>'Stavební rozpočet'!L29</f>
        <v>2.9336000000000002</v>
      </c>
      <c r="H15" s="259" t="s">
        <v>680</v>
      </c>
      <c r="I15" s="259">
        <f t="shared" si="1"/>
        <v>0</v>
      </c>
      <c r="J15" s="239"/>
      <c r="K15" s="239"/>
      <c r="L15" s="239"/>
      <c r="M15" s="239"/>
      <c r="N15" s="239"/>
      <c r="O15" s="239"/>
    </row>
    <row r="16" spans="1:15" x14ac:dyDescent="0.2">
      <c r="A16" s="269"/>
      <c r="B16" s="269" t="s">
        <v>574</v>
      </c>
      <c r="C16" s="269" t="s">
        <v>544</v>
      </c>
      <c r="D16" s="259">
        <f>'Stavební rozpočet'!H32</f>
        <v>0</v>
      </c>
      <c r="E16" s="259">
        <f>'Stavební rozpočet'!I32</f>
        <v>0</v>
      </c>
      <c r="F16" s="259">
        <f t="shared" si="0"/>
        <v>0</v>
      </c>
      <c r="G16" s="259">
        <f>'Stavební rozpočet'!L32</f>
        <v>0</v>
      </c>
      <c r="H16" s="259" t="s">
        <v>680</v>
      </c>
      <c r="I16" s="259">
        <f t="shared" si="1"/>
        <v>0</v>
      </c>
      <c r="J16" s="239"/>
      <c r="K16" s="239"/>
      <c r="L16" s="239"/>
      <c r="M16" s="239"/>
      <c r="N16" s="239"/>
      <c r="O16" s="239"/>
    </row>
    <row r="17" spans="1:15" x14ac:dyDescent="0.2">
      <c r="A17" s="269"/>
      <c r="B17" s="269" t="s">
        <v>576</v>
      </c>
      <c r="C17" s="269" t="s">
        <v>577</v>
      </c>
      <c r="D17" s="259">
        <f>'Stavební rozpočet'!H34</f>
        <v>0</v>
      </c>
      <c r="E17" s="259">
        <f>'Stavební rozpočet'!I34</f>
        <v>0</v>
      </c>
      <c r="F17" s="259">
        <f t="shared" si="0"/>
        <v>0</v>
      </c>
      <c r="G17" s="259">
        <f>'Stavební rozpočet'!L34</f>
        <v>0</v>
      </c>
      <c r="H17" s="259" t="s">
        <v>680</v>
      </c>
      <c r="I17" s="259">
        <f t="shared" si="1"/>
        <v>0</v>
      </c>
      <c r="J17" s="239"/>
      <c r="K17" s="239"/>
      <c r="L17" s="239"/>
      <c r="M17" s="239"/>
      <c r="N17" s="239"/>
      <c r="O17" s="239"/>
    </row>
    <row r="18" spans="1:15" x14ac:dyDescent="0.2">
      <c r="A18" s="269"/>
      <c r="B18" s="269" t="s">
        <v>579</v>
      </c>
      <c r="C18" s="269" t="s">
        <v>580</v>
      </c>
      <c r="D18" s="259">
        <f>'Stavební rozpočet'!H36</f>
        <v>0</v>
      </c>
      <c r="E18" s="259">
        <f>'Stavební rozpočet'!I36</f>
        <v>0</v>
      </c>
      <c r="F18" s="259">
        <f t="shared" si="0"/>
        <v>0</v>
      </c>
      <c r="G18" s="259">
        <f>'Stavební rozpočet'!L36</f>
        <v>0</v>
      </c>
      <c r="H18" s="259" t="s">
        <v>680</v>
      </c>
      <c r="I18" s="259">
        <f t="shared" si="1"/>
        <v>0</v>
      </c>
      <c r="J18" s="239"/>
      <c r="K18" s="239"/>
      <c r="L18" s="239"/>
      <c r="M18" s="239"/>
      <c r="N18" s="239"/>
      <c r="O18" s="239"/>
    </row>
    <row r="19" spans="1:15" x14ac:dyDescent="0.2">
      <c r="A19" s="269"/>
      <c r="B19" s="269" t="s">
        <v>587</v>
      </c>
      <c r="C19" s="269" t="s">
        <v>588</v>
      </c>
      <c r="D19" s="259">
        <f>'Stavební rozpočet'!H41</f>
        <v>0</v>
      </c>
      <c r="E19" s="259">
        <f>'Stavební rozpočet'!I41</f>
        <v>0</v>
      </c>
      <c r="F19" s="259">
        <f t="shared" si="0"/>
        <v>0</v>
      </c>
      <c r="G19" s="259">
        <f>'Stavební rozpočet'!L41</f>
        <v>0.51644999999999996</v>
      </c>
      <c r="H19" s="259" t="s">
        <v>680</v>
      </c>
      <c r="I19" s="259">
        <f t="shared" si="1"/>
        <v>0</v>
      </c>
      <c r="J19" s="239"/>
      <c r="K19" s="239"/>
      <c r="L19" s="239"/>
      <c r="M19" s="239"/>
      <c r="N19" s="239"/>
      <c r="O19" s="239"/>
    </row>
    <row r="20" spans="1:15" x14ac:dyDescent="0.2">
      <c r="A20" s="269"/>
      <c r="B20" s="269" t="s">
        <v>68</v>
      </c>
      <c r="C20" s="269" t="s">
        <v>595</v>
      </c>
      <c r="D20" s="259">
        <f>'Stavební rozpočet'!H44</f>
        <v>0</v>
      </c>
      <c r="E20" s="259">
        <f>'Stavební rozpočet'!I44</f>
        <v>0</v>
      </c>
      <c r="F20" s="259">
        <f t="shared" si="0"/>
        <v>0</v>
      </c>
      <c r="G20" s="259">
        <f>'Stavební rozpočet'!L44</f>
        <v>0.88931000000000004</v>
      </c>
      <c r="H20" s="259" t="s">
        <v>680</v>
      </c>
      <c r="I20" s="259">
        <f t="shared" si="1"/>
        <v>0</v>
      </c>
      <c r="J20" s="239"/>
      <c r="K20" s="239"/>
      <c r="L20" s="239"/>
      <c r="M20" s="239"/>
      <c r="N20" s="239"/>
      <c r="O20" s="239"/>
    </row>
    <row r="21" spans="1:15" x14ac:dyDescent="0.2">
      <c r="A21" s="239"/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</row>
    <row r="22" spans="1:15" x14ac:dyDescent="0.2">
      <c r="A22" s="239"/>
      <c r="B22" s="239"/>
      <c r="C22" s="239"/>
      <c r="D22" s="239"/>
      <c r="E22" s="277" t="s">
        <v>599</v>
      </c>
      <c r="F22" s="278">
        <f>SUM(I11:I20)</f>
        <v>0</v>
      </c>
      <c r="G22" s="239"/>
      <c r="H22" s="239"/>
      <c r="I22" s="239"/>
      <c r="J22" s="239"/>
      <c r="K22" s="239"/>
      <c r="L22" s="239"/>
      <c r="M22" s="239"/>
      <c r="N22" s="239"/>
      <c r="O22" s="239"/>
    </row>
    <row r="23" spans="1:15" x14ac:dyDescent="0.2">
      <c r="A23" s="239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</row>
    <row r="24" spans="1:15" x14ac:dyDescent="0.2">
      <c r="A24" s="239"/>
      <c r="B24" s="239"/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</row>
    <row r="25" spans="1:15" x14ac:dyDescent="0.2">
      <c r="A25" s="239"/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39"/>
    </row>
  </sheetData>
  <mergeCells count="17">
    <mergeCell ref="A6:A7"/>
    <mergeCell ref="B6:C7"/>
    <mergeCell ref="D6:D7"/>
    <mergeCell ref="E6:G7"/>
    <mergeCell ref="A8:A9"/>
    <mergeCell ref="B8:C9"/>
    <mergeCell ref="D8:D9"/>
    <mergeCell ref="E8:G9"/>
    <mergeCell ref="A4:A5"/>
    <mergeCell ref="B4:C5"/>
    <mergeCell ref="D4:D5"/>
    <mergeCell ref="E4:G5"/>
    <mergeCell ref="A1:G1"/>
    <mergeCell ref="A2:A3"/>
    <mergeCell ref="B2:C3"/>
    <mergeCell ref="D2:D3"/>
    <mergeCell ref="E2:G3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J36"/>
  <sheetViews>
    <sheetView topLeftCell="A16" workbookViewId="0">
      <selection activeCell="K30" sqref="K30"/>
    </sheetView>
  </sheetViews>
  <sheetFormatPr defaultRowHeight="12.75" x14ac:dyDescent="0.2"/>
  <cols>
    <col min="2" max="2" width="13.28515625" customWidth="1"/>
    <col min="3" max="3" width="14.42578125" customWidth="1"/>
    <col min="5" max="5" width="13.140625" customWidth="1"/>
    <col min="6" max="6" width="13.7109375" customWidth="1"/>
    <col min="8" max="8" width="13.85546875" customWidth="1"/>
    <col min="9" max="9" width="22.85546875" customWidth="1"/>
  </cols>
  <sheetData>
    <row r="1" spans="1:10" ht="30" x14ac:dyDescent="0.2">
      <c r="A1" s="240"/>
      <c r="B1" s="241"/>
      <c r="C1" s="312" t="s">
        <v>681</v>
      </c>
      <c r="D1" s="313"/>
      <c r="E1" s="313"/>
      <c r="F1" s="313"/>
      <c r="G1" s="313"/>
      <c r="H1" s="313"/>
      <c r="I1" s="313"/>
      <c r="J1" s="239"/>
    </row>
    <row r="2" spans="1:10" x14ac:dyDescent="0.2">
      <c r="A2" s="290" t="s">
        <v>514</v>
      </c>
      <c r="B2" s="291"/>
      <c r="C2" s="294" t="s">
        <v>515</v>
      </c>
      <c r="D2" s="307"/>
      <c r="E2" s="297" t="s">
        <v>23</v>
      </c>
      <c r="F2" s="297" t="str">
        <f>'[2]Stavební rozpočet'!J2</f>
        <v xml:space="preserve"> </v>
      </c>
      <c r="G2" s="291"/>
      <c r="H2" s="297" t="s">
        <v>601</v>
      </c>
      <c r="I2" s="314"/>
      <c r="J2" s="257"/>
    </row>
    <row r="3" spans="1:10" x14ac:dyDescent="0.2">
      <c r="A3" s="292"/>
      <c r="B3" s="293"/>
      <c r="C3" s="295"/>
      <c r="D3" s="295"/>
      <c r="E3" s="293"/>
      <c r="F3" s="293"/>
      <c r="G3" s="293"/>
      <c r="H3" s="293"/>
      <c r="I3" s="299"/>
      <c r="J3" s="257"/>
    </row>
    <row r="4" spans="1:10" x14ac:dyDescent="0.2">
      <c r="A4" s="301" t="s">
        <v>518</v>
      </c>
      <c r="B4" s="293"/>
      <c r="C4" s="300" t="s">
        <v>519</v>
      </c>
      <c r="D4" s="293"/>
      <c r="E4" s="300" t="s">
        <v>21</v>
      </c>
      <c r="F4" s="300" t="str">
        <f>'[2]Stavební rozpočet'!J4</f>
        <v xml:space="preserve"> </v>
      </c>
      <c r="G4" s="293"/>
      <c r="H4" s="300" t="s">
        <v>601</v>
      </c>
      <c r="I4" s="315"/>
      <c r="J4" s="257"/>
    </row>
    <row r="5" spans="1:10" x14ac:dyDescent="0.2">
      <c r="A5" s="292"/>
      <c r="B5" s="293"/>
      <c r="C5" s="293"/>
      <c r="D5" s="293"/>
      <c r="E5" s="293"/>
      <c r="F5" s="293"/>
      <c r="G5" s="293"/>
      <c r="H5" s="293"/>
      <c r="I5" s="299"/>
      <c r="J5" s="257"/>
    </row>
    <row r="6" spans="1:10" x14ac:dyDescent="0.2">
      <c r="A6" s="301" t="s">
        <v>522</v>
      </c>
      <c r="B6" s="293"/>
      <c r="C6" s="300" t="s">
        <v>48</v>
      </c>
      <c r="D6" s="293"/>
      <c r="E6" s="300" t="s">
        <v>20</v>
      </c>
      <c r="F6" s="300" t="str">
        <f>'[2]Stavební rozpočet'!J6</f>
        <v xml:space="preserve"> </v>
      </c>
      <c r="G6" s="293"/>
      <c r="H6" s="300" t="s">
        <v>601</v>
      </c>
      <c r="I6" s="315"/>
      <c r="J6" s="257"/>
    </row>
    <row r="7" spans="1:10" x14ac:dyDescent="0.2">
      <c r="A7" s="292"/>
      <c r="B7" s="293"/>
      <c r="C7" s="293"/>
      <c r="D7" s="293"/>
      <c r="E7" s="293"/>
      <c r="F7" s="293"/>
      <c r="G7" s="293"/>
      <c r="H7" s="293"/>
      <c r="I7" s="299"/>
      <c r="J7" s="257"/>
    </row>
    <row r="8" spans="1:10" x14ac:dyDescent="0.2">
      <c r="A8" s="301" t="s">
        <v>520</v>
      </c>
      <c r="B8" s="293"/>
      <c r="C8" s="300" t="s">
        <v>521</v>
      </c>
      <c r="D8" s="293"/>
      <c r="E8" s="300" t="s">
        <v>523</v>
      </c>
      <c r="F8" s="300" t="str">
        <f>'[2]Stavební rozpočet'!G6</f>
        <v xml:space="preserve"> </v>
      </c>
      <c r="G8" s="293"/>
      <c r="H8" s="302" t="s">
        <v>602</v>
      </c>
      <c r="I8" s="315" t="s">
        <v>596</v>
      </c>
      <c r="J8" s="257"/>
    </row>
    <row r="9" spans="1:10" x14ac:dyDescent="0.2">
      <c r="A9" s="292"/>
      <c r="B9" s="293"/>
      <c r="C9" s="293"/>
      <c r="D9" s="293"/>
      <c r="E9" s="293"/>
      <c r="F9" s="293"/>
      <c r="G9" s="293"/>
      <c r="H9" s="293"/>
      <c r="I9" s="299"/>
      <c r="J9" s="257"/>
    </row>
    <row r="10" spans="1:10" x14ac:dyDescent="0.2">
      <c r="A10" s="301" t="s">
        <v>524</v>
      </c>
      <c r="B10" s="293"/>
      <c r="C10" s="300"/>
      <c r="D10" s="293"/>
      <c r="E10" s="300" t="s">
        <v>526</v>
      </c>
      <c r="F10" s="300" t="str">
        <f>'[2]Stavební rozpočet'!J8</f>
        <v xml:space="preserve"> </v>
      </c>
      <c r="G10" s="293"/>
      <c r="H10" s="302" t="s">
        <v>603</v>
      </c>
      <c r="I10" s="316" t="str">
        <f>'[2]Stavební rozpočet'!G8</f>
        <v>04.04.2019</v>
      </c>
      <c r="J10" s="257"/>
    </row>
    <row r="11" spans="1:10" x14ac:dyDescent="0.2">
      <c r="A11" s="318"/>
      <c r="B11" s="319"/>
      <c r="C11" s="319"/>
      <c r="D11" s="319"/>
      <c r="E11" s="319"/>
      <c r="F11" s="319"/>
      <c r="G11" s="319"/>
      <c r="H11" s="319"/>
      <c r="I11" s="317"/>
      <c r="J11" s="257"/>
    </row>
    <row r="12" spans="1:10" ht="23.25" x14ac:dyDescent="0.2">
      <c r="A12" s="320" t="s">
        <v>604</v>
      </c>
      <c r="B12" s="321"/>
      <c r="C12" s="321"/>
      <c r="D12" s="321"/>
      <c r="E12" s="321"/>
      <c r="F12" s="321"/>
      <c r="G12" s="321"/>
      <c r="H12" s="321"/>
      <c r="I12" s="321"/>
      <c r="J12" s="239"/>
    </row>
    <row r="13" spans="1:10" ht="26.25" x14ac:dyDescent="0.2">
      <c r="A13" s="242" t="s">
        <v>605</v>
      </c>
      <c r="B13" s="322" t="s">
        <v>606</v>
      </c>
      <c r="C13" s="323"/>
      <c r="D13" s="242" t="s">
        <v>607</v>
      </c>
      <c r="E13" s="322" t="s">
        <v>608</v>
      </c>
      <c r="F13" s="323"/>
      <c r="G13" s="242" t="s">
        <v>609</v>
      </c>
      <c r="H13" s="322" t="s">
        <v>610</v>
      </c>
      <c r="I13" s="323"/>
      <c r="J13" s="257"/>
    </row>
    <row r="14" spans="1:10" ht="15.75" x14ac:dyDescent="0.2">
      <c r="A14" s="243" t="s">
        <v>26</v>
      </c>
      <c r="B14" s="244" t="s">
        <v>611</v>
      </c>
      <c r="C14" s="245">
        <f>SUM('Stavební rozpočet'!R12:R45)</f>
        <v>0</v>
      </c>
      <c r="D14" s="324" t="s">
        <v>612</v>
      </c>
      <c r="E14" s="325"/>
      <c r="F14" s="245">
        <v>0</v>
      </c>
      <c r="G14" s="324" t="s">
        <v>490</v>
      </c>
      <c r="H14" s="325"/>
      <c r="I14" s="287">
        <f>C22*0.0005</f>
        <v>0</v>
      </c>
      <c r="J14" s="257"/>
    </row>
    <row r="15" spans="1:10" ht="15.75" x14ac:dyDescent="0.2">
      <c r="A15" s="246"/>
      <c r="B15" s="244" t="s">
        <v>540</v>
      </c>
      <c r="C15" s="245">
        <f>SUM('Stavební rozpočet'!S12:S45)</f>
        <v>0</v>
      </c>
      <c r="D15" s="324" t="s">
        <v>613</v>
      </c>
      <c r="E15" s="325"/>
      <c r="F15" s="245">
        <v>0</v>
      </c>
      <c r="G15" s="324" t="s">
        <v>614</v>
      </c>
      <c r="H15" s="325"/>
      <c r="I15" s="287">
        <f>C22*0.025</f>
        <v>0</v>
      </c>
      <c r="J15" s="257"/>
    </row>
    <row r="16" spans="1:10" ht="15.75" x14ac:dyDescent="0.2">
      <c r="A16" s="243" t="s">
        <v>27</v>
      </c>
      <c r="B16" s="244" t="s">
        <v>611</v>
      </c>
      <c r="C16" s="245">
        <f>SUM('Stavební rozpočet'!T12:T45)</f>
        <v>0</v>
      </c>
      <c r="D16" s="324" t="s">
        <v>615</v>
      </c>
      <c r="E16" s="325"/>
      <c r="F16" s="245">
        <v>0</v>
      </c>
      <c r="G16" s="324" t="s">
        <v>616</v>
      </c>
      <c r="H16" s="325"/>
      <c r="I16" s="245">
        <v>0</v>
      </c>
      <c r="J16" s="257"/>
    </row>
    <row r="17" spans="1:10" ht="15.75" x14ac:dyDescent="0.2">
      <c r="A17" s="246"/>
      <c r="B17" s="244" t="s">
        <v>540</v>
      </c>
      <c r="C17" s="245">
        <f>SUM('Stavební rozpočet'!U12:U45)</f>
        <v>0</v>
      </c>
      <c r="D17" s="324"/>
      <c r="E17" s="325"/>
      <c r="F17" s="247"/>
      <c r="G17" s="324" t="s">
        <v>617</v>
      </c>
      <c r="H17" s="325"/>
      <c r="I17" s="245">
        <v>0</v>
      </c>
      <c r="J17" s="257"/>
    </row>
    <row r="18" spans="1:10" ht="15.75" x14ac:dyDescent="0.2">
      <c r="A18" s="243" t="s">
        <v>618</v>
      </c>
      <c r="B18" s="244" t="s">
        <v>611</v>
      </c>
      <c r="C18" s="245">
        <f>SUM('Stavební rozpočet'!V12:V45)</f>
        <v>0</v>
      </c>
      <c r="D18" s="324"/>
      <c r="E18" s="325"/>
      <c r="F18" s="247"/>
      <c r="G18" s="324" t="s">
        <v>619</v>
      </c>
      <c r="H18" s="325"/>
      <c r="I18" s="245">
        <v>0</v>
      </c>
      <c r="J18" s="257"/>
    </row>
    <row r="19" spans="1:10" ht="15.75" x14ac:dyDescent="0.2">
      <c r="A19" s="246"/>
      <c r="B19" s="244" t="s">
        <v>540</v>
      </c>
      <c r="C19" s="245">
        <f>SUM('Stavební rozpočet'!W12:W45)</f>
        <v>0</v>
      </c>
      <c r="D19" s="324"/>
      <c r="E19" s="325"/>
      <c r="F19" s="247"/>
      <c r="G19" s="324" t="s">
        <v>620</v>
      </c>
      <c r="H19" s="325"/>
      <c r="I19" s="245">
        <v>0</v>
      </c>
      <c r="J19" s="257"/>
    </row>
    <row r="20" spans="1:10" ht="15.75" x14ac:dyDescent="0.2">
      <c r="A20" s="326" t="s">
        <v>621</v>
      </c>
      <c r="B20" s="327"/>
      <c r="C20" s="245">
        <f>SUM('Stavební rozpočet'!X12:X45)</f>
        <v>0</v>
      </c>
      <c r="D20" s="324"/>
      <c r="E20" s="325"/>
      <c r="F20" s="247"/>
      <c r="G20" s="324"/>
      <c r="H20" s="325"/>
      <c r="I20" s="247"/>
      <c r="J20" s="257"/>
    </row>
    <row r="21" spans="1:10" ht="15.75" x14ac:dyDescent="0.2">
      <c r="A21" s="326" t="s">
        <v>622</v>
      </c>
      <c r="B21" s="327"/>
      <c r="C21" s="245">
        <f>SUM('Stavební rozpočet'!P12:P45)</f>
        <v>0</v>
      </c>
      <c r="D21" s="324"/>
      <c r="E21" s="325"/>
      <c r="F21" s="247"/>
      <c r="G21" s="324"/>
      <c r="H21" s="325"/>
      <c r="I21" s="247"/>
      <c r="J21" s="257"/>
    </row>
    <row r="22" spans="1:10" ht="15.75" x14ac:dyDescent="0.2">
      <c r="A22" s="326" t="s">
        <v>623</v>
      </c>
      <c r="B22" s="327"/>
      <c r="C22" s="245">
        <f>SUM(C14:C21)</f>
        <v>0</v>
      </c>
      <c r="D22" s="326" t="s">
        <v>624</v>
      </c>
      <c r="E22" s="327"/>
      <c r="F22" s="245">
        <f>SUM(F14:F21)</f>
        <v>0</v>
      </c>
      <c r="G22" s="326" t="s">
        <v>625</v>
      </c>
      <c r="H22" s="327"/>
      <c r="I22" s="245">
        <f>SUM(I14:I21)</f>
        <v>0</v>
      </c>
      <c r="J22" s="257"/>
    </row>
    <row r="23" spans="1:10" ht="16.5" thickBot="1" x14ac:dyDescent="0.25">
      <c r="A23" s="236"/>
      <c r="B23" s="236"/>
      <c r="C23" s="248"/>
      <c r="D23" s="326" t="s">
        <v>626</v>
      </c>
      <c r="E23" s="327"/>
      <c r="F23" s="249">
        <v>0</v>
      </c>
      <c r="G23" s="326" t="s">
        <v>627</v>
      </c>
      <c r="H23" s="327"/>
      <c r="I23" s="245">
        <v>0</v>
      </c>
      <c r="J23" s="257"/>
    </row>
    <row r="24" spans="1:10" ht="15.75" x14ac:dyDescent="0.2">
      <c r="A24" s="239"/>
      <c r="B24" s="239"/>
      <c r="C24" s="239"/>
      <c r="D24" s="236"/>
      <c r="E24" s="236"/>
      <c r="F24" s="250"/>
      <c r="G24" s="326" t="s">
        <v>628</v>
      </c>
      <c r="H24" s="327"/>
      <c r="I24" s="245">
        <v>0</v>
      </c>
      <c r="J24" s="257"/>
    </row>
    <row r="25" spans="1:10" ht="15.75" x14ac:dyDescent="0.2">
      <c r="A25" s="239"/>
      <c r="B25" s="239"/>
      <c r="C25" s="239"/>
      <c r="D25" s="239"/>
      <c r="E25" s="239"/>
      <c r="F25" s="251"/>
      <c r="G25" s="326" t="s">
        <v>629</v>
      </c>
      <c r="H25" s="327"/>
      <c r="I25" s="245">
        <v>0</v>
      </c>
      <c r="J25" s="257"/>
    </row>
    <row r="26" spans="1:10" x14ac:dyDescent="0.2">
      <c r="A26" s="241"/>
      <c r="B26" s="241"/>
      <c r="C26" s="241"/>
      <c r="D26" s="239"/>
      <c r="E26" s="239"/>
      <c r="F26" s="239"/>
      <c r="G26" s="236"/>
      <c r="H26" s="236"/>
      <c r="I26" s="236"/>
      <c r="J26" s="239"/>
    </row>
    <row r="27" spans="1:10" ht="15.75" x14ac:dyDescent="0.2">
      <c r="A27" s="328" t="s">
        <v>630</v>
      </c>
      <c r="B27" s="329"/>
      <c r="C27" s="252">
        <f>SUM('[2]Stavební rozpočet'!Z12:Z45)</f>
        <v>0</v>
      </c>
      <c r="D27" s="253"/>
      <c r="E27" s="241"/>
      <c r="F27" s="241"/>
      <c r="G27" s="241"/>
      <c r="H27" s="241"/>
      <c r="I27" s="241"/>
      <c r="J27" s="239"/>
    </row>
    <row r="28" spans="1:10" ht="15.75" x14ac:dyDescent="0.2">
      <c r="A28" s="328" t="s">
        <v>634</v>
      </c>
      <c r="B28" s="329"/>
      <c r="C28" s="252">
        <f>SUM('Stavební rozpočet'!AA12:AA45)+(F22+I22+F23+I23+I24+I25)</f>
        <v>0</v>
      </c>
      <c r="D28" s="328" t="s">
        <v>635</v>
      </c>
      <c r="E28" s="329"/>
      <c r="F28" s="252">
        <f>ROUND(C28*(21/100),2)</f>
        <v>0</v>
      </c>
      <c r="G28" s="328" t="s">
        <v>633</v>
      </c>
      <c r="H28" s="329"/>
      <c r="I28" s="252">
        <f>SUM(C27:C29)</f>
        <v>0</v>
      </c>
      <c r="J28" s="257"/>
    </row>
    <row r="29" spans="1:10" ht="15.75" x14ac:dyDescent="0.2">
      <c r="A29" s="328" t="s">
        <v>631</v>
      </c>
      <c r="B29" s="329"/>
      <c r="C29" s="252">
        <f>SUM('Stavební rozpočet'!AB12:AB45)</f>
        <v>0</v>
      </c>
      <c r="D29" s="328" t="s">
        <v>632</v>
      </c>
      <c r="E29" s="329"/>
      <c r="F29" s="252">
        <f>ROUND(C29*(15/100),2)</f>
        <v>0</v>
      </c>
      <c r="G29" s="328" t="s">
        <v>636</v>
      </c>
      <c r="H29" s="329"/>
      <c r="I29" s="252">
        <f>SUM(F28:F29)+I28</f>
        <v>0</v>
      </c>
      <c r="J29" s="257"/>
    </row>
    <row r="30" spans="1:10" ht="13.5" thickBot="1" x14ac:dyDescent="0.25">
      <c r="A30" s="254"/>
      <c r="B30" s="254"/>
      <c r="C30" s="254"/>
      <c r="D30" s="254"/>
      <c r="E30" s="254"/>
      <c r="F30" s="254"/>
      <c r="G30" s="254"/>
      <c r="H30" s="254"/>
      <c r="I30" s="254"/>
      <c r="J30" s="239"/>
    </row>
    <row r="31" spans="1:10" ht="15" x14ac:dyDescent="0.2">
      <c r="A31" s="330" t="s">
        <v>637</v>
      </c>
      <c r="B31" s="331"/>
      <c r="C31" s="332"/>
      <c r="D31" s="330" t="s">
        <v>638</v>
      </c>
      <c r="E31" s="331"/>
      <c r="F31" s="332"/>
      <c r="G31" s="330" t="s">
        <v>639</v>
      </c>
      <c r="H31" s="331"/>
      <c r="I31" s="332"/>
      <c r="J31" s="258"/>
    </row>
    <row r="32" spans="1:10" ht="15" x14ac:dyDescent="0.2">
      <c r="A32" s="333"/>
      <c r="B32" s="334"/>
      <c r="C32" s="335"/>
      <c r="D32" s="333"/>
      <c r="E32" s="334"/>
      <c r="F32" s="335"/>
      <c r="G32" s="333"/>
      <c r="H32" s="334"/>
      <c r="I32" s="335"/>
      <c r="J32" s="258"/>
    </row>
    <row r="33" spans="1:10" ht="15" x14ac:dyDescent="0.2">
      <c r="A33" s="333"/>
      <c r="B33" s="334"/>
      <c r="C33" s="335"/>
      <c r="D33" s="333"/>
      <c r="E33" s="334"/>
      <c r="F33" s="335"/>
      <c r="G33" s="333"/>
      <c r="H33" s="334"/>
      <c r="I33" s="335"/>
      <c r="J33" s="258"/>
    </row>
    <row r="34" spans="1:10" ht="15" x14ac:dyDescent="0.2">
      <c r="A34" s="333"/>
      <c r="B34" s="334"/>
      <c r="C34" s="335"/>
      <c r="D34" s="333"/>
      <c r="E34" s="334"/>
      <c r="F34" s="335"/>
      <c r="G34" s="333"/>
      <c r="H34" s="334"/>
      <c r="I34" s="335"/>
      <c r="J34" s="258"/>
    </row>
    <row r="35" spans="1:10" ht="15.75" thickBot="1" x14ac:dyDescent="0.25">
      <c r="A35" s="336" t="s">
        <v>640</v>
      </c>
      <c r="B35" s="337"/>
      <c r="C35" s="338"/>
      <c r="D35" s="336" t="s">
        <v>640</v>
      </c>
      <c r="E35" s="337"/>
      <c r="F35" s="338"/>
      <c r="G35" s="336" t="s">
        <v>640</v>
      </c>
      <c r="H35" s="337"/>
      <c r="I35" s="338"/>
      <c r="J35" s="258"/>
    </row>
    <row r="36" spans="1:10" x14ac:dyDescent="0.2">
      <c r="A36" s="255" t="s">
        <v>600</v>
      </c>
      <c r="B36" s="256"/>
      <c r="C36" s="256"/>
      <c r="D36" s="256"/>
      <c r="E36" s="256"/>
      <c r="F36" s="256"/>
      <c r="G36" s="256"/>
      <c r="H36" s="256"/>
      <c r="I36" s="256"/>
      <c r="J36" s="239"/>
    </row>
  </sheetData>
  <mergeCells count="82"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29"/>
  <sheetViews>
    <sheetView workbookViewId="0">
      <selection activeCell="G38" sqref="G38"/>
    </sheetView>
  </sheetViews>
  <sheetFormatPr defaultRowHeight="12.75" x14ac:dyDescent="0.2"/>
  <cols>
    <col min="9" max="9" width="40.85546875" customWidth="1"/>
  </cols>
  <sheetData>
    <row r="1" spans="1:9" ht="18" x14ac:dyDescent="0.2">
      <c r="A1" s="355" t="s">
        <v>666</v>
      </c>
      <c r="B1" s="356"/>
      <c r="C1" s="356"/>
      <c r="D1" s="356"/>
      <c r="E1" s="356"/>
      <c r="F1" s="356"/>
      <c r="G1" s="356"/>
      <c r="H1" s="356"/>
      <c r="I1" s="357"/>
    </row>
    <row r="2" spans="1:9" ht="15.75" x14ac:dyDescent="0.2">
      <c r="A2" s="80" t="s">
        <v>24</v>
      </c>
      <c r="B2" s="81"/>
      <c r="C2" s="204" t="s">
        <v>44</v>
      </c>
      <c r="D2" s="82" t="s">
        <v>45</v>
      </c>
      <c r="E2" s="83"/>
      <c r="F2" s="84"/>
      <c r="G2" s="83"/>
      <c r="H2" s="84"/>
      <c r="I2" s="85"/>
    </row>
    <row r="3" spans="1:9" x14ac:dyDescent="0.2">
      <c r="A3" s="86" t="s">
        <v>42</v>
      </c>
      <c r="B3" s="81"/>
      <c r="C3" s="87" t="s">
        <v>41</v>
      </c>
      <c r="D3" s="87" t="s">
        <v>40</v>
      </c>
      <c r="E3" s="88"/>
      <c r="F3" s="88"/>
      <c r="G3" s="81"/>
      <c r="H3" s="89"/>
      <c r="I3" s="90"/>
    </row>
    <row r="4" spans="1:9" x14ac:dyDescent="0.2">
      <c r="A4" s="91" t="s">
        <v>43</v>
      </c>
      <c r="B4" s="92"/>
      <c r="C4" s="93" t="s">
        <v>39</v>
      </c>
      <c r="D4" s="93" t="s">
        <v>40</v>
      </c>
      <c r="E4" s="94"/>
      <c r="F4" s="95"/>
      <c r="G4" s="94"/>
      <c r="H4" s="95"/>
      <c r="I4" s="96"/>
    </row>
    <row r="5" spans="1:9" x14ac:dyDescent="0.2">
      <c r="A5" s="43" t="s">
        <v>23</v>
      </c>
      <c r="B5" s="5"/>
      <c r="C5" s="79" t="s">
        <v>46</v>
      </c>
      <c r="D5" s="26"/>
      <c r="E5" s="26"/>
      <c r="F5" s="26"/>
      <c r="G5" s="27" t="s">
        <v>38</v>
      </c>
      <c r="H5" s="79" t="s">
        <v>50</v>
      </c>
      <c r="I5" s="11"/>
    </row>
    <row r="6" spans="1:9" x14ac:dyDescent="0.2">
      <c r="A6" s="38"/>
      <c r="B6" s="26"/>
      <c r="C6" s="79" t="s">
        <v>47</v>
      </c>
      <c r="D6" s="26"/>
      <c r="E6" s="26"/>
      <c r="F6" s="26"/>
      <c r="G6" s="27" t="s">
        <v>34</v>
      </c>
      <c r="H6" s="79" t="s">
        <v>51</v>
      </c>
      <c r="I6" s="11"/>
    </row>
    <row r="7" spans="1:9" x14ac:dyDescent="0.2">
      <c r="A7" s="39"/>
      <c r="B7" s="97" t="s">
        <v>49</v>
      </c>
      <c r="C7" s="77" t="s">
        <v>48</v>
      </c>
      <c r="D7" s="32"/>
      <c r="E7" s="32"/>
      <c r="F7" s="32"/>
      <c r="G7" s="33"/>
      <c r="H7" s="32"/>
      <c r="I7" s="47"/>
    </row>
    <row r="8" spans="1:9" x14ac:dyDescent="0.2">
      <c r="A8" s="43" t="s">
        <v>21</v>
      </c>
      <c r="B8" s="5"/>
      <c r="C8" s="78" t="s">
        <v>52</v>
      </c>
      <c r="D8" s="5"/>
      <c r="E8" s="5"/>
      <c r="F8" s="42"/>
      <c r="G8" s="27" t="s">
        <v>38</v>
      </c>
      <c r="H8" s="79" t="s">
        <v>54</v>
      </c>
      <c r="I8" s="11"/>
    </row>
    <row r="9" spans="1:9" x14ac:dyDescent="0.2">
      <c r="A9" s="4"/>
      <c r="B9" s="5"/>
      <c r="C9" s="78" t="s">
        <v>53</v>
      </c>
      <c r="D9" s="5"/>
      <c r="E9" s="5"/>
      <c r="F9" s="42"/>
      <c r="G9" s="27" t="s">
        <v>34</v>
      </c>
      <c r="H9" s="79" t="s">
        <v>55</v>
      </c>
      <c r="I9" s="11"/>
    </row>
    <row r="10" spans="1:9" x14ac:dyDescent="0.2">
      <c r="A10" s="48"/>
      <c r="B10" s="97" t="s">
        <v>49</v>
      </c>
      <c r="C10" s="98" t="s">
        <v>48</v>
      </c>
      <c r="D10" s="51"/>
      <c r="E10" s="51"/>
      <c r="F10" s="49"/>
      <c r="G10" s="49"/>
      <c r="H10" s="50"/>
      <c r="I10" s="47"/>
    </row>
    <row r="11" spans="1:9" x14ac:dyDescent="0.2">
      <c r="A11" s="43" t="s">
        <v>20</v>
      </c>
      <c r="B11" s="261"/>
      <c r="C11" s="358"/>
      <c r="D11" s="358"/>
      <c r="E11" s="358"/>
      <c r="F11" s="358"/>
      <c r="G11" s="262" t="s">
        <v>38</v>
      </c>
      <c r="H11" s="263"/>
      <c r="I11" s="11"/>
    </row>
    <row r="12" spans="1:9" x14ac:dyDescent="0.2">
      <c r="A12" s="38"/>
      <c r="B12" s="264"/>
      <c r="C12" s="359"/>
      <c r="D12" s="359"/>
      <c r="E12" s="359"/>
      <c r="F12" s="359"/>
      <c r="G12" s="262" t="s">
        <v>34</v>
      </c>
      <c r="H12" s="265"/>
      <c r="I12" s="11"/>
    </row>
    <row r="13" spans="1:9" x14ac:dyDescent="0.2">
      <c r="A13" s="39"/>
      <c r="B13" s="266"/>
      <c r="C13" s="360"/>
      <c r="D13" s="360"/>
      <c r="E13" s="360"/>
      <c r="F13" s="360"/>
      <c r="G13" s="267"/>
      <c r="H13" s="268"/>
      <c r="I13" s="47"/>
    </row>
    <row r="14" spans="1:9" x14ac:dyDescent="0.2">
      <c r="A14" s="62" t="s">
        <v>22</v>
      </c>
      <c r="B14" s="63"/>
      <c r="C14" s="64"/>
      <c r="D14" s="65"/>
      <c r="E14" s="65"/>
      <c r="F14" s="65"/>
      <c r="G14" s="66"/>
      <c r="H14" s="65"/>
      <c r="I14" s="67"/>
    </row>
    <row r="15" spans="1:9" x14ac:dyDescent="0.2">
      <c r="A15" s="48" t="s">
        <v>32</v>
      </c>
      <c r="B15" s="68"/>
      <c r="C15" s="49"/>
      <c r="D15" s="361"/>
      <c r="E15" s="361"/>
      <c r="F15" s="362"/>
      <c r="G15" s="362"/>
      <c r="H15" s="362" t="s">
        <v>31</v>
      </c>
      <c r="I15" s="363"/>
    </row>
    <row r="16" spans="1:9" ht="14.25" x14ac:dyDescent="0.2">
      <c r="A16" s="53" t="s">
        <v>26</v>
      </c>
      <c r="B16" s="54"/>
      <c r="C16" s="55"/>
      <c r="D16" s="349"/>
      <c r="E16" s="350"/>
      <c r="F16" s="349"/>
      <c r="G16" s="350"/>
      <c r="H16" s="349"/>
      <c r="I16" s="351"/>
    </row>
    <row r="17" spans="1:9" ht="14.25" x14ac:dyDescent="0.2">
      <c r="A17" s="53" t="s">
        <v>27</v>
      </c>
      <c r="B17" s="54"/>
      <c r="C17" s="55"/>
      <c r="D17" s="349"/>
      <c r="E17" s="350"/>
      <c r="F17" s="349"/>
      <c r="G17" s="350"/>
      <c r="H17" s="349"/>
      <c r="I17" s="351"/>
    </row>
    <row r="18" spans="1:9" ht="14.25" x14ac:dyDescent="0.2">
      <c r="A18" s="53" t="s">
        <v>28</v>
      </c>
      <c r="B18" s="54"/>
      <c r="C18" s="55"/>
      <c r="D18" s="349"/>
      <c r="E18" s="350"/>
      <c r="F18" s="349"/>
      <c r="G18" s="350"/>
      <c r="H18" s="349"/>
      <c r="I18" s="351"/>
    </row>
    <row r="19" spans="1:9" ht="14.25" x14ac:dyDescent="0.2">
      <c r="A19" s="53" t="s">
        <v>29</v>
      </c>
      <c r="B19" s="54"/>
      <c r="C19" s="55"/>
      <c r="D19" s="349"/>
      <c r="E19" s="350"/>
      <c r="F19" s="349"/>
      <c r="G19" s="350"/>
      <c r="H19" s="349"/>
      <c r="I19" s="351"/>
    </row>
    <row r="20" spans="1:9" ht="14.25" x14ac:dyDescent="0.2">
      <c r="A20" s="53" t="s">
        <v>30</v>
      </c>
      <c r="B20" s="54"/>
      <c r="C20" s="55"/>
      <c r="D20" s="349"/>
      <c r="E20" s="350"/>
      <c r="F20" s="349"/>
      <c r="G20" s="350"/>
      <c r="H20" s="349"/>
      <c r="I20" s="351"/>
    </row>
    <row r="21" spans="1:9" ht="15" x14ac:dyDescent="0.2">
      <c r="A21" s="70" t="s">
        <v>31</v>
      </c>
      <c r="B21" s="71"/>
      <c r="C21" s="72"/>
      <c r="D21" s="352"/>
      <c r="E21" s="353"/>
      <c r="F21" s="352"/>
      <c r="G21" s="353"/>
      <c r="H21" s="352"/>
      <c r="I21" s="354"/>
    </row>
    <row r="22" spans="1:9" x14ac:dyDescent="0.2">
      <c r="A22" s="61" t="s">
        <v>33</v>
      </c>
      <c r="B22" s="54"/>
      <c r="C22" s="55"/>
      <c r="D22" s="60"/>
      <c r="E22" s="57"/>
      <c r="F22" s="46"/>
      <c r="G22" s="46"/>
      <c r="H22" s="46"/>
      <c r="I22" s="58"/>
    </row>
    <row r="23" spans="1:9" ht="15" x14ac:dyDescent="0.2">
      <c r="A23" s="53" t="s">
        <v>13</v>
      </c>
      <c r="B23" s="54"/>
      <c r="C23" s="55"/>
      <c r="D23" s="56">
        <v>15</v>
      </c>
      <c r="E23" s="57" t="s">
        <v>0</v>
      </c>
      <c r="F23" s="340">
        <v>0</v>
      </c>
      <c r="G23" s="341"/>
      <c r="H23" s="341"/>
      <c r="I23" s="58" t="str">
        <f t="shared" ref="I23:I28" si="0">Mena</f>
        <v>CZK</v>
      </c>
    </row>
    <row r="24" spans="1:9" ht="15" x14ac:dyDescent="0.2">
      <c r="A24" s="53" t="s">
        <v>14</v>
      </c>
      <c r="B24" s="54"/>
      <c r="C24" s="55"/>
      <c r="D24" s="56">
        <v>15</v>
      </c>
      <c r="E24" s="57" t="s">
        <v>0</v>
      </c>
      <c r="F24" s="342">
        <v>0</v>
      </c>
      <c r="G24" s="343"/>
      <c r="H24" s="343"/>
      <c r="I24" s="58" t="str">
        <f t="shared" si="0"/>
        <v>CZK</v>
      </c>
    </row>
    <row r="25" spans="1:9" ht="15" x14ac:dyDescent="0.2">
      <c r="A25" s="53" t="s">
        <v>15</v>
      </c>
      <c r="B25" s="54"/>
      <c r="C25" s="55"/>
      <c r="D25" s="56">
        <v>21</v>
      </c>
      <c r="E25" s="57" t="s">
        <v>0</v>
      </c>
      <c r="F25" s="340">
        <f>SUM(KL_Stavba_kuchyně!G25,'KL_rozpočtu vstupu'!I28)</f>
        <v>0</v>
      </c>
      <c r="G25" s="341"/>
      <c r="H25" s="341"/>
      <c r="I25" s="58" t="str">
        <f t="shared" si="0"/>
        <v>CZK</v>
      </c>
    </row>
    <row r="26" spans="1:9" ht="15" x14ac:dyDescent="0.2">
      <c r="A26" s="45" t="s">
        <v>16</v>
      </c>
      <c r="B26" s="22"/>
      <c r="C26" s="18"/>
      <c r="D26" s="40">
        <v>21</v>
      </c>
      <c r="E26" s="41" t="s">
        <v>0</v>
      </c>
      <c r="F26" s="344">
        <f>F25*21/100</f>
        <v>0</v>
      </c>
      <c r="G26" s="345"/>
      <c r="H26" s="345"/>
      <c r="I26" s="52" t="str">
        <f t="shared" si="0"/>
        <v>CZK</v>
      </c>
    </row>
    <row r="27" spans="1:9" ht="15.75" thickBot="1" x14ac:dyDescent="0.25">
      <c r="A27" s="44" t="s">
        <v>5</v>
      </c>
      <c r="B27" s="20"/>
      <c r="C27" s="23"/>
      <c r="D27" s="20"/>
      <c r="E27" s="21"/>
      <c r="F27" s="346">
        <f>0</f>
        <v>0</v>
      </c>
      <c r="G27" s="346"/>
      <c r="H27" s="346"/>
      <c r="I27" s="59" t="str">
        <f t="shared" si="0"/>
        <v>CZK</v>
      </c>
    </row>
    <row r="28" spans="1:9" ht="17.25" thickBot="1" x14ac:dyDescent="0.25">
      <c r="A28" s="282" t="s">
        <v>25</v>
      </c>
      <c r="B28" s="283"/>
      <c r="C28" s="283"/>
      <c r="D28" s="284"/>
      <c r="E28" s="285"/>
      <c r="F28" s="347">
        <f>F25</f>
        <v>0</v>
      </c>
      <c r="G28" s="348"/>
      <c r="H28" s="348"/>
      <c r="I28" s="286" t="str">
        <f t="shared" si="0"/>
        <v>CZK</v>
      </c>
    </row>
    <row r="29" spans="1:9" ht="17.25" thickBot="1" x14ac:dyDescent="0.25">
      <c r="A29" s="279" t="s">
        <v>35</v>
      </c>
      <c r="B29" s="280"/>
      <c r="C29" s="280"/>
      <c r="D29" s="280"/>
      <c r="E29" s="280"/>
      <c r="F29" s="339">
        <f>F25+F26</f>
        <v>0</v>
      </c>
      <c r="G29" s="339"/>
      <c r="H29" s="339"/>
      <c r="I29" s="281" t="s">
        <v>63</v>
      </c>
    </row>
  </sheetData>
  <mergeCells count="32">
    <mergeCell ref="A1:I1"/>
    <mergeCell ref="C11:F11"/>
    <mergeCell ref="C12:F12"/>
    <mergeCell ref="C13:F13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F29:H29"/>
    <mergeCell ref="F23:H23"/>
    <mergeCell ref="F24:H24"/>
    <mergeCell ref="F25:H25"/>
    <mergeCell ref="F26:H26"/>
    <mergeCell ref="F27:H27"/>
    <mergeCell ref="F28:H28"/>
  </mergeCells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112">
    <tabColor rgb="FF00B0F0"/>
  </sheetPr>
  <dimension ref="A1:O76"/>
  <sheetViews>
    <sheetView showGridLines="0" topLeftCell="B79" zoomScaleNormal="100" zoomScaleSheetLayoutView="75" workbookViewId="0">
      <selection activeCell="G24" sqref="G24:I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355" t="s">
        <v>4</v>
      </c>
      <c r="C1" s="356"/>
      <c r="D1" s="356"/>
      <c r="E1" s="356"/>
      <c r="F1" s="356"/>
      <c r="G1" s="356"/>
      <c r="H1" s="356"/>
      <c r="I1" s="356"/>
      <c r="J1" s="357"/>
    </row>
    <row r="2" spans="1:15" ht="23.25" customHeight="1" x14ac:dyDescent="0.2">
      <c r="A2" s="4"/>
      <c r="B2" s="80" t="s">
        <v>24</v>
      </c>
      <c r="C2" s="81"/>
      <c r="D2" s="204" t="s">
        <v>44</v>
      </c>
      <c r="E2" s="82" t="s">
        <v>45</v>
      </c>
      <c r="F2" s="83"/>
      <c r="G2" s="84"/>
      <c r="H2" s="83"/>
      <c r="I2" s="84"/>
      <c r="J2" s="85"/>
      <c r="O2" s="2"/>
    </row>
    <row r="3" spans="1:15" ht="23.25" customHeight="1" x14ac:dyDescent="0.2">
      <c r="A3" s="4"/>
      <c r="B3" s="86" t="s">
        <v>42</v>
      </c>
      <c r="C3" s="81"/>
      <c r="D3" s="87" t="s">
        <v>41</v>
      </c>
      <c r="E3" s="87" t="s">
        <v>40</v>
      </c>
      <c r="F3" s="88"/>
      <c r="G3" s="88"/>
      <c r="H3" s="81"/>
      <c r="I3" s="89"/>
      <c r="J3" s="90"/>
    </row>
    <row r="4" spans="1:15" ht="23.25" customHeight="1" x14ac:dyDescent="0.2">
      <c r="A4" s="76">
        <v>4743</v>
      </c>
      <c r="B4" s="91" t="s">
        <v>43</v>
      </c>
      <c r="C4" s="92"/>
      <c r="D4" s="93" t="s">
        <v>39</v>
      </c>
      <c r="E4" s="93" t="s">
        <v>40</v>
      </c>
      <c r="F4" s="94"/>
      <c r="G4" s="95"/>
      <c r="H4" s="94"/>
      <c r="I4" s="95"/>
      <c r="J4" s="96"/>
    </row>
    <row r="5" spans="1:15" ht="24" customHeight="1" x14ac:dyDescent="0.2">
      <c r="A5" s="4"/>
      <c r="B5" s="43" t="s">
        <v>23</v>
      </c>
      <c r="C5" s="5"/>
      <c r="D5" s="79" t="s">
        <v>46</v>
      </c>
      <c r="E5" s="26"/>
      <c r="F5" s="26"/>
      <c r="G5" s="26"/>
      <c r="H5" s="27" t="s">
        <v>38</v>
      </c>
      <c r="I5" s="79" t="s">
        <v>50</v>
      </c>
      <c r="J5" s="11"/>
    </row>
    <row r="6" spans="1:15" ht="15.75" customHeight="1" x14ac:dyDescent="0.2">
      <c r="A6" s="4"/>
      <c r="B6" s="38"/>
      <c r="C6" s="26"/>
      <c r="D6" s="79" t="s">
        <v>47</v>
      </c>
      <c r="E6" s="26"/>
      <c r="F6" s="26"/>
      <c r="G6" s="26"/>
      <c r="H6" s="27" t="s">
        <v>34</v>
      </c>
      <c r="I6" s="79" t="s">
        <v>51</v>
      </c>
      <c r="J6" s="11"/>
    </row>
    <row r="7" spans="1:15" ht="15.75" customHeight="1" x14ac:dyDescent="0.2">
      <c r="A7" s="4"/>
      <c r="B7" s="39"/>
      <c r="C7" s="97" t="s">
        <v>49</v>
      </c>
      <c r="D7" s="77" t="s">
        <v>48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8" t="s">
        <v>52</v>
      </c>
      <c r="E8" s="5"/>
      <c r="F8" s="5"/>
      <c r="G8" s="42"/>
      <c r="H8" s="27" t="s">
        <v>38</v>
      </c>
      <c r="I8" s="79" t="s">
        <v>54</v>
      </c>
      <c r="J8" s="11"/>
    </row>
    <row r="9" spans="1:15" ht="15.75" hidden="1" customHeight="1" x14ac:dyDescent="0.2">
      <c r="A9" s="4"/>
      <c r="B9" s="4"/>
      <c r="C9" s="5"/>
      <c r="D9" s="78" t="s">
        <v>53</v>
      </c>
      <c r="E9" s="5"/>
      <c r="F9" s="5"/>
      <c r="G9" s="42"/>
      <c r="H9" s="27" t="s">
        <v>34</v>
      </c>
      <c r="I9" s="79" t="s">
        <v>55</v>
      </c>
      <c r="J9" s="11"/>
    </row>
    <row r="10" spans="1:15" ht="15.75" hidden="1" customHeight="1" x14ac:dyDescent="0.2">
      <c r="A10" s="4"/>
      <c r="B10" s="48"/>
      <c r="C10" s="97" t="s">
        <v>49</v>
      </c>
      <c r="D10" s="98" t="s">
        <v>48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364" t="s">
        <v>56</v>
      </c>
      <c r="E11" s="364"/>
      <c r="F11" s="364"/>
      <c r="G11" s="364"/>
      <c r="H11" s="27" t="s">
        <v>38</v>
      </c>
      <c r="I11" s="100" t="s">
        <v>60</v>
      </c>
      <c r="J11" s="11"/>
    </row>
    <row r="12" spans="1:15" ht="15.75" customHeight="1" x14ac:dyDescent="0.2">
      <c r="A12" s="4"/>
      <c r="B12" s="38"/>
      <c r="C12" s="26"/>
      <c r="D12" s="365" t="s">
        <v>57</v>
      </c>
      <c r="E12" s="365"/>
      <c r="F12" s="365"/>
      <c r="G12" s="365"/>
      <c r="H12" s="27" t="s">
        <v>34</v>
      </c>
      <c r="I12" s="101"/>
      <c r="J12" s="11"/>
    </row>
    <row r="13" spans="1:15" ht="15.75" customHeight="1" x14ac:dyDescent="0.2">
      <c r="A13" s="4"/>
      <c r="B13" s="39"/>
      <c r="C13" s="99" t="s">
        <v>59</v>
      </c>
      <c r="D13" s="366" t="s">
        <v>58</v>
      </c>
      <c r="E13" s="366"/>
      <c r="F13" s="366"/>
      <c r="G13" s="366"/>
      <c r="H13" s="28"/>
      <c r="I13" s="32"/>
      <c r="J13" s="47"/>
    </row>
    <row r="14" spans="1:15" ht="24" hidden="1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32</v>
      </c>
      <c r="C15" s="68"/>
      <c r="D15" s="49"/>
      <c r="E15" s="361"/>
      <c r="F15" s="361"/>
      <c r="G15" s="362"/>
      <c r="H15" s="362"/>
      <c r="I15" s="362" t="s">
        <v>31</v>
      </c>
      <c r="J15" s="363"/>
    </row>
    <row r="16" spans="1:15" ht="23.25" customHeight="1" x14ac:dyDescent="0.2">
      <c r="A16" s="157" t="s">
        <v>26</v>
      </c>
      <c r="B16" s="53" t="s">
        <v>26</v>
      </c>
      <c r="C16" s="54"/>
      <c r="D16" s="55"/>
      <c r="E16" s="349"/>
      <c r="F16" s="350"/>
      <c r="G16" s="349"/>
      <c r="H16" s="350"/>
      <c r="I16" s="349">
        <f>SUMIF(F49:F72,A16,I49:I72)+SUMIF(F49:F72,"PSU",I49:I72)</f>
        <v>0</v>
      </c>
      <c r="J16" s="351"/>
    </row>
    <row r="17" spans="1:10" ht="23.25" customHeight="1" x14ac:dyDescent="0.2">
      <c r="A17" s="157" t="s">
        <v>27</v>
      </c>
      <c r="B17" s="53" t="s">
        <v>27</v>
      </c>
      <c r="C17" s="54"/>
      <c r="D17" s="55"/>
      <c r="E17" s="349"/>
      <c r="F17" s="350"/>
      <c r="G17" s="349"/>
      <c r="H17" s="350"/>
      <c r="I17" s="349">
        <f>SUMIF(F49:F72,A17,I49:I72)</f>
        <v>0</v>
      </c>
      <c r="J17" s="351"/>
    </row>
    <row r="18" spans="1:10" ht="23.25" customHeight="1" x14ac:dyDescent="0.2">
      <c r="A18" s="157" t="s">
        <v>28</v>
      </c>
      <c r="B18" s="53" t="s">
        <v>28</v>
      </c>
      <c r="C18" s="54"/>
      <c r="D18" s="55"/>
      <c r="E18" s="349"/>
      <c r="F18" s="350"/>
      <c r="G18" s="349"/>
      <c r="H18" s="350"/>
      <c r="I18" s="349">
        <f>SUMIF(F49:F72,A18,I49:I72)</f>
        <v>0</v>
      </c>
      <c r="J18" s="351"/>
    </row>
    <row r="19" spans="1:10" ht="23.25" customHeight="1" x14ac:dyDescent="0.2">
      <c r="A19" s="157" t="s">
        <v>113</v>
      </c>
      <c r="B19" s="53" t="s">
        <v>29</v>
      </c>
      <c r="C19" s="54"/>
      <c r="D19" s="55"/>
      <c r="E19" s="349"/>
      <c r="F19" s="350"/>
      <c r="G19" s="349"/>
      <c r="H19" s="350"/>
      <c r="I19" s="349">
        <f>SUMIF(F49:F72,A19,I49:I72)</f>
        <v>0</v>
      </c>
      <c r="J19" s="351"/>
    </row>
    <row r="20" spans="1:10" ht="23.25" customHeight="1" x14ac:dyDescent="0.2">
      <c r="A20" s="157" t="s">
        <v>114</v>
      </c>
      <c r="B20" s="53" t="s">
        <v>30</v>
      </c>
      <c r="C20" s="54"/>
      <c r="D20" s="55"/>
      <c r="E20" s="349"/>
      <c r="F20" s="350"/>
      <c r="G20" s="349"/>
      <c r="H20" s="350"/>
      <c r="I20" s="349">
        <f>SUMIF(F49:F72,A20,I49:I72)</f>
        <v>0</v>
      </c>
      <c r="J20" s="351"/>
    </row>
    <row r="21" spans="1:10" ht="23.25" customHeight="1" x14ac:dyDescent="0.2">
      <c r="A21" s="4"/>
      <c r="B21" s="70" t="s">
        <v>31</v>
      </c>
      <c r="C21" s="71"/>
      <c r="D21" s="72"/>
      <c r="E21" s="352"/>
      <c r="F21" s="353"/>
      <c r="G21" s="352"/>
      <c r="H21" s="353"/>
      <c r="I21" s="352">
        <f>SUM(I16:J20)</f>
        <v>0</v>
      </c>
      <c r="J21" s="354"/>
    </row>
    <row r="22" spans="1:10" ht="33" customHeight="1" x14ac:dyDescent="0.2">
      <c r="A22" s="4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340">
        <v>0</v>
      </c>
      <c r="H23" s="341"/>
      <c r="I23" s="341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342">
        <f>ZakladDPHSni*SazbaDPH1/100</f>
        <v>0</v>
      </c>
      <c r="H24" s="343"/>
      <c r="I24" s="343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340">
        <f>I21</f>
        <v>0</v>
      </c>
      <c r="H25" s="341"/>
      <c r="I25" s="341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344">
        <f>ZakladDPHZakl*SazbaDPH2/100</f>
        <v>0</v>
      </c>
      <c r="H26" s="345"/>
      <c r="I26" s="345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346">
        <f>0</f>
        <v>0</v>
      </c>
      <c r="H27" s="346"/>
      <c r="I27" s="346"/>
      <c r="J27" s="59" t="str">
        <f t="shared" si="0"/>
        <v>CZK</v>
      </c>
    </row>
    <row r="28" spans="1:10" ht="27.75" hidden="1" customHeight="1" thickBot="1" x14ac:dyDescent="0.25">
      <c r="A28" s="4"/>
      <c r="B28" s="130" t="s">
        <v>25</v>
      </c>
      <c r="C28" s="131"/>
      <c r="D28" s="131"/>
      <c r="E28" s="132"/>
      <c r="F28" s="133"/>
      <c r="G28" s="377" t="e">
        <f>ZakladDPHSniVypocet+ZakladDPHZaklVypocet</f>
        <v>#REF!</v>
      </c>
      <c r="H28" s="378"/>
      <c r="I28" s="378"/>
      <c r="J28" s="134" t="str">
        <f t="shared" si="0"/>
        <v>CZK</v>
      </c>
    </row>
    <row r="29" spans="1:10" ht="27.75" customHeight="1" thickBot="1" x14ac:dyDescent="0.25">
      <c r="A29" s="4"/>
      <c r="B29" s="130" t="s">
        <v>35</v>
      </c>
      <c r="C29" s="135"/>
      <c r="D29" s="135"/>
      <c r="E29" s="135"/>
      <c r="F29" s="135"/>
      <c r="G29" s="377">
        <f>ZakladDPHSni+DPHSni+ZakladDPHZakl+DPHZakl+Zaokrouhleni</f>
        <v>0</v>
      </c>
      <c r="H29" s="377"/>
      <c r="I29" s="377"/>
      <c r="J29" s="136" t="s">
        <v>63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/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376" t="s">
        <v>2</v>
      </c>
      <c r="E35" s="376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 x14ac:dyDescent="0.2">
      <c r="A38" s="106" t="s">
        <v>37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 x14ac:dyDescent="0.2">
      <c r="A39" s="106">
        <v>1</v>
      </c>
      <c r="B39" s="114" t="s">
        <v>61</v>
      </c>
      <c r="C39" s="367"/>
      <c r="D39" s="368"/>
      <c r="E39" s="368"/>
      <c r="F39" s="121" t="e">
        <f>'01 01. Pol'!R279</f>
        <v>#REF!</v>
      </c>
      <c r="G39" s="122" t="e">
        <f>'01 01. Pol'!S279</f>
        <v>#REF!</v>
      </c>
      <c r="H39" s="123" t="e">
        <f>(F39*SazbaDPH1/100)+(G39*SazbaDPH2/100)</f>
        <v>#REF!</v>
      </c>
      <c r="I39" s="123" t="e">
        <f>F39+G39+H39</f>
        <v>#REF!</v>
      </c>
      <c r="J39" s="115" t="e">
        <f>IF(CenaCelkemVypocet=0,"",I39/CenaCelkemVypocet*100)</f>
        <v>#REF!</v>
      </c>
    </row>
    <row r="40" spans="1:10" ht="25.5" hidden="1" customHeight="1" x14ac:dyDescent="0.2">
      <c r="A40" s="106">
        <v>2</v>
      </c>
      <c r="B40" s="107" t="s">
        <v>41</v>
      </c>
      <c r="C40" s="369" t="s">
        <v>40</v>
      </c>
      <c r="D40" s="370"/>
      <c r="E40" s="370"/>
      <c r="F40" s="124" t="e">
        <f>'01 01. Pol'!R279</f>
        <v>#REF!</v>
      </c>
      <c r="G40" s="125" t="e">
        <f>'01 01. Pol'!S279</f>
        <v>#REF!</v>
      </c>
      <c r="H40" s="125" t="e">
        <f>(F40*SazbaDPH1/100)+(G40*SazbaDPH2/100)</f>
        <v>#REF!</v>
      </c>
      <c r="I40" s="125" t="e">
        <f>F40+G40+H40</f>
        <v>#REF!</v>
      </c>
      <c r="J40" s="108" t="e">
        <f>IF(CenaCelkemVypocet=0,"",I40/CenaCelkemVypocet*100)</f>
        <v>#REF!</v>
      </c>
    </row>
    <row r="41" spans="1:10" ht="25.5" hidden="1" customHeight="1" x14ac:dyDescent="0.2">
      <c r="A41" s="106">
        <v>3</v>
      </c>
      <c r="B41" s="116" t="s">
        <v>39</v>
      </c>
      <c r="C41" s="371" t="s">
        <v>40</v>
      </c>
      <c r="D41" s="372"/>
      <c r="E41" s="372"/>
      <c r="F41" s="126" t="e">
        <f>'01 01. Pol'!R279</f>
        <v>#REF!</v>
      </c>
      <c r="G41" s="127" t="e">
        <f>'01 01. Pol'!S279</f>
        <v>#REF!</v>
      </c>
      <c r="H41" s="127" t="e">
        <f>(F41*SazbaDPH1/100)+(G41*SazbaDPH2/100)</f>
        <v>#REF!</v>
      </c>
      <c r="I41" s="127" t="e">
        <f>F41+G41+H41</f>
        <v>#REF!</v>
      </c>
      <c r="J41" s="117" t="e">
        <f>IF(CenaCelkemVypocet=0,"",I41/CenaCelkemVypocet*100)</f>
        <v>#REF!</v>
      </c>
    </row>
    <row r="42" spans="1:10" ht="25.5" hidden="1" customHeight="1" x14ac:dyDescent="0.2">
      <c r="A42" s="106"/>
      <c r="B42" s="373" t="s">
        <v>62</v>
      </c>
      <c r="C42" s="374"/>
      <c r="D42" s="374"/>
      <c r="E42" s="375"/>
      <c r="F42" s="128" t="e">
        <f>SUMIF(A39:A41,"=1",F39:F41)</f>
        <v>#REF!</v>
      </c>
      <c r="G42" s="129" t="e">
        <f>SUMIF(A39:A41,"=1",G39:G41)</f>
        <v>#REF!</v>
      </c>
      <c r="H42" s="129" t="e">
        <f>SUMIF(A39:A41,"=1",H39:H41)</f>
        <v>#REF!</v>
      </c>
      <c r="I42" s="129" t="e">
        <f>SUMIF(A39:A41,"=1",I39:I41)</f>
        <v>#REF!</v>
      </c>
      <c r="J42" s="109" t="e">
        <f>SUMIF(A39:A41,"=1",J39:J41)</f>
        <v>#REF!</v>
      </c>
    </row>
    <row r="46" spans="1:10" ht="15.75" x14ac:dyDescent="0.25">
      <c r="B46" s="137" t="s">
        <v>64</v>
      </c>
    </row>
    <row r="48" spans="1:10" ht="25.5" customHeight="1" x14ac:dyDescent="0.2">
      <c r="A48" s="138"/>
      <c r="B48" s="142" t="s">
        <v>18</v>
      </c>
      <c r="C48" s="142" t="s">
        <v>6</v>
      </c>
      <c r="D48" s="143"/>
      <c r="E48" s="143"/>
      <c r="F48" s="146" t="s">
        <v>65</v>
      </c>
      <c r="G48" s="146"/>
      <c r="H48" s="146"/>
      <c r="I48" s="146" t="s">
        <v>31</v>
      </c>
      <c r="J48"/>
    </row>
    <row r="49" spans="1:10" ht="25.5" customHeight="1" x14ac:dyDescent="0.2">
      <c r="A49" s="139"/>
      <c r="B49" s="149" t="s">
        <v>66</v>
      </c>
      <c r="C49" s="381" t="s">
        <v>67</v>
      </c>
      <c r="D49" s="382"/>
      <c r="E49" s="382"/>
      <c r="F49" s="153" t="s">
        <v>26</v>
      </c>
      <c r="G49" s="150"/>
      <c r="H49" s="150"/>
      <c r="I49" s="150">
        <f>'01 01. Pol'!G7</f>
        <v>0</v>
      </c>
      <c r="J49"/>
    </row>
    <row r="50" spans="1:10" ht="25.5" customHeight="1" x14ac:dyDescent="0.2">
      <c r="A50" s="139"/>
      <c r="B50" s="141" t="s">
        <v>68</v>
      </c>
      <c r="C50" s="379" t="s">
        <v>69</v>
      </c>
      <c r="D50" s="380"/>
      <c r="E50" s="380"/>
      <c r="F50" s="154" t="s">
        <v>26</v>
      </c>
      <c r="G50" s="147"/>
      <c r="H50" s="147"/>
      <c r="I50" s="147">
        <f>'01 01. Pol'!G10</f>
        <v>0</v>
      </c>
      <c r="J50"/>
    </row>
    <row r="51" spans="1:10" ht="25.5" customHeight="1" x14ac:dyDescent="0.2">
      <c r="A51" s="139"/>
      <c r="B51" s="141" t="s">
        <v>70</v>
      </c>
      <c r="C51" s="379" t="s">
        <v>71</v>
      </c>
      <c r="D51" s="380"/>
      <c r="E51" s="380"/>
      <c r="F51" s="154" t="s">
        <v>26</v>
      </c>
      <c r="G51" s="147"/>
      <c r="H51" s="147"/>
      <c r="I51" s="147">
        <f>'01 01. Pol'!G14</f>
        <v>0</v>
      </c>
      <c r="J51"/>
    </row>
    <row r="52" spans="1:10" ht="25.5" customHeight="1" x14ac:dyDescent="0.2">
      <c r="A52" s="139"/>
      <c r="B52" s="141" t="s">
        <v>72</v>
      </c>
      <c r="C52" s="379" t="s">
        <v>73</v>
      </c>
      <c r="D52" s="380"/>
      <c r="E52" s="380"/>
      <c r="F52" s="154" t="s">
        <v>26</v>
      </c>
      <c r="G52" s="147"/>
      <c r="H52" s="147"/>
      <c r="I52" s="147">
        <f>'01 01. Pol'!G47</f>
        <v>0</v>
      </c>
      <c r="J52"/>
    </row>
    <row r="53" spans="1:10" ht="25.5" customHeight="1" x14ac:dyDescent="0.2">
      <c r="A53" s="139"/>
      <c r="B53" s="141" t="s">
        <v>74</v>
      </c>
      <c r="C53" s="379" t="s">
        <v>75</v>
      </c>
      <c r="D53" s="380"/>
      <c r="E53" s="380"/>
      <c r="F53" s="154" t="s">
        <v>26</v>
      </c>
      <c r="G53" s="147"/>
      <c r="H53" s="147"/>
      <c r="I53" s="147">
        <f>'01 01. Pol'!G50</f>
        <v>0</v>
      </c>
      <c r="J53"/>
    </row>
    <row r="54" spans="1:10" ht="25.5" customHeight="1" x14ac:dyDescent="0.2">
      <c r="A54" s="139"/>
      <c r="B54" s="141" t="s">
        <v>76</v>
      </c>
      <c r="C54" s="379" t="s">
        <v>77</v>
      </c>
      <c r="D54" s="380"/>
      <c r="E54" s="380"/>
      <c r="F54" s="154" t="s">
        <v>26</v>
      </c>
      <c r="G54" s="147"/>
      <c r="H54" s="147"/>
      <c r="I54" s="147">
        <f>'01 01. Pol'!G61</f>
        <v>0</v>
      </c>
      <c r="J54"/>
    </row>
    <row r="55" spans="1:10" ht="25.5" customHeight="1" x14ac:dyDescent="0.2">
      <c r="A55" s="139"/>
      <c r="B55" s="141" t="s">
        <v>78</v>
      </c>
      <c r="C55" s="379" t="s">
        <v>79</v>
      </c>
      <c r="D55" s="380"/>
      <c r="E55" s="380"/>
      <c r="F55" s="154" t="s">
        <v>26</v>
      </c>
      <c r="G55" s="147"/>
      <c r="H55" s="147"/>
      <c r="I55" s="147">
        <f>'01 01. Pol'!G80</f>
        <v>0</v>
      </c>
      <c r="J55"/>
    </row>
    <row r="56" spans="1:10" ht="25.5" customHeight="1" x14ac:dyDescent="0.2">
      <c r="A56" s="139"/>
      <c r="B56" s="141" t="s">
        <v>80</v>
      </c>
      <c r="C56" s="379" t="s">
        <v>81</v>
      </c>
      <c r="D56" s="380"/>
      <c r="E56" s="380"/>
      <c r="F56" s="154" t="s">
        <v>27</v>
      </c>
      <c r="G56" s="147"/>
      <c r="H56" s="147"/>
      <c r="I56" s="147">
        <f>'01 01. Pol'!G82</f>
        <v>0</v>
      </c>
      <c r="J56"/>
    </row>
    <row r="57" spans="1:10" ht="25.5" customHeight="1" x14ac:dyDescent="0.2">
      <c r="A57" s="139"/>
      <c r="B57" s="141" t="s">
        <v>82</v>
      </c>
      <c r="C57" s="379" t="s">
        <v>83</v>
      </c>
      <c r="D57" s="380"/>
      <c r="E57" s="380"/>
      <c r="F57" s="154" t="s">
        <v>27</v>
      </c>
      <c r="G57" s="147"/>
      <c r="H57" s="147"/>
      <c r="I57" s="147">
        <f>'01 01. Pol'!G91</f>
        <v>0</v>
      </c>
      <c r="J57"/>
    </row>
    <row r="58" spans="1:10" ht="25.5" customHeight="1" x14ac:dyDescent="0.2">
      <c r="A58" s="139"/>
      <c r="B58" s="141" t="s">
        <v>84</v>
      </c>
      <c r="C58" s="379" t="s">
        <v>85</v>
      </c>
      <c r="D58" s="380"/>
      <c r="E58" s="380"/>
      <c r="F58" s="154" t="s">
        <v>27</v>
      </c>
      <c r="G58" s="147"/>
      <c r="H58" s="147"/>
      <c r="I58" s="147">
        <f>'01 01. Pol'!G109</f>
        <v>0</v>
      </c>
      <c r="J58"/>
    </row>
    <row r="59" spans="1:10" ht="25.5" customHeight="1" x14ac:dyDescent="0.2">
      <c r="A59" s="139"/>
      <c r="B59" s="141" t="s">
        <v>86</v>
      </c>
      <c r="C59" s="379" t="s">
        <v>87</v>
      </c>
      <c r="D59" s="380"/>
      <c r="E59" s="380"/>
      <c r="F59" s="154" t="s">
        <v>27</v>
      </c>
      <c r="G59" s="147"/>
      <c r="H59" s="147"/>
      <c r="I59" s="147">
        <f>'01 01. Pol'!G123</f>
        <v>0</v>
      </c>
      <c r="J59"/>
    </row>
    <row r="60" spans="1:10" ht="25.5" customHeight="1" x14ac:dyDescent="0.2">
      <c r="A60" s="139"/>
      <c r="B60" s="141" t="s">
        <v>88</v>
      </c>
      <c r="C60" s="379" t="s">
        <v>89</v>
      </c>
      <c r="D60" s="380"/>
      <c r="E60" s="380"/>
      <c r="F60" s="154" t="s">
        <v>27</v>
      </c>
      <c r="G60" s="147"/>
      <c r="H60" s="147"/>
      <c r="I60" s="147">
        <f>'01 01. Pol'!G132</f>
        <v>0</v>
      </c>
      <c r="J60"/>
    </row>
    <row r="61" spans="1:10" ht="25.5" customHeight="1" x14ac:dyDescent="0.2">
      <c r="A61" s="139"/>
      <c r="B61" s="141" t="s">
        <v>90</v>
      </c>
      <c r="C61" s="379" t="s">
        <v>91</v>
      </c>
      <c r="D61" s="380"/>
      <c r="E61" s="380"/>
      <c r="F61" s="154" t="s">
        <v>27</v>
      </c>
      <c r="G61" s="147"/>
      <c r="H61" s="147"/>
      <c r="I61" s="147">
        <f>'01 01. Pol'!G134</f>
        <v>0</v>
      </c>
      <c r="J61"/>
    </row>
    <row r="62" spans="1:10" ht="25.5" customHeight="1" x14ac:dyDescent="0.2">
      <c r="A62" s="139"/>
      <c r="B62" s="141" t="s">
        <v>92</v>
      </c>
      <c r="C62" s="379" t="s">
        <v>93</v>
      </c>
      <c r="D62" s="380"/>
      <c r="E62" s="380"/>
      <c r="F62" s="154" t="s">
        <v>27</v>
      </c>
      <c r="G62" s="147"/>
      <c r="H62" s="147"/>
      <c r="I62" s="147">
        <f>'01 01. Pol'!G137</f>
        <v>0</v>
      </c>
      <c r="J62"/>
    </row>
    <row r="63" spans="1:10" ht="25.5" customHeight="1" x14ac:dyDescent="0.2">
      <c r="A63" s="139"/>
      <c r="B63" s="141" t="s">
        <v>94</v>
      </c>
      <c r="C63" s="379" t="s">
        <v>95</v>
      </c>
      <c r="D63" s="380"/>
      <c r="E63" s="380"/>
      <c r="F63" s="154" t="s">
        <v>27</v>
      </c>
      <c r="G63" s="147"/>
      <c r="H63" s="147"/>
      <c r="I63" s="147">
        <f>'01 01. Pol'!G143</f>
        <v>0</v>
      </c>
      <c r="J63"/>
    </row>
    <row r="64" spans="1:10" ht="25.5" customHeight="1" x14ac:dyDescent="0.2">
      <c r="A64" s="139"/>
      <c r="B64" s="141" t="s">
        <v>96</v>
      </c>
      <c r="C64" s="379" t="s">
        <v>97</v>
      </c>
      <c r="D64" s="380"/>
      <c r="E64" s="380"/>
      <c r="F64" s="154" t="s">
        <v>27</v>
      </c>
      <c r="G64" s="147"/>
      <c r="H64" s="147"/>
      <c r="I64" s="147">
        <f>'01 01. Pol'!G157</f>
        <v>0</v>
      </c>
      <c r="J64"/>
    </row>
    <row r="65" spans="1:10" ht="25.5" customHeight="1" x14ac:dyDescent="0.2">
      <c r="A65" s="139"/>
      <c r="B65" s="141" t="s">
        <v>98</v>
      </c>
      <c r="C65" s="379" t="s">
        <v>99</v>
      </c>
      <c r="D65" s="380"/>
      <c r="E65" s="380"/>
      <c r="F65" s="154" t="s">
        <v>27</v>
      </c>
      <c r="G65" s="147"/>
      <c r="H65" s="147"/>
      <c r="I65" s="147">
        <f>'01 01. Pol'!G174</f>
        <v>0</v>
      </c>
      <c r="J65"/>
    </row>
    <row r="66" spans="1:10" ht="25.5" customHeight="1" x14ac:dyDescent="0.2">
      <c r="A66" s="139"/>
      <c r="B66" s="141" t="s">
        <v>100</v>
      </c>
      <c r="C66" s="379" t="s">
        <v>101</v>
      </c>
      <c r="D66" s="380"/>
      <c r="E66" s="380"/>
      <c r="F66" s="154" t="s">
        <v>27</v>
      </c>
      <c r="G66" s="147"/>
      <c r="H66" s="147"/>
      <c r="I66" s="147">
        <f>'01 01. Pol'!G191</f>
        <v>0</v>
      </c>
      <c r="J66"/>
    </row>
    <row r="67" spans="1:10" ht="25.5" customHeight="1" x14ac:dyDescent="0.2">
      <c r="A67" s="139"/>
      <c r="B67" s="141" t="s">
        <v>102</v>
      </c>
      <c r="C67" s="379" t="s">
        <v>103</v>
      </c>
      <c r="D67" s="380"/>
      <c r="E67" s="380"/>
      <c r="F67" s="154" t="s">
        <v>27</v>
      </c>
      <c r="G67" s="147"/>
      <c r="H67" s="147"/>
      <c r="I67" s="147">
        <f>'01 01. Pol'!G201</f>
        <v>0</v>
      </c>
      <c r="J67"/>
    </row>
    <row r="68" spans="1:10" ht="25.5" customHeight="1" x14ac:dyDescent="0.2">
      <c r="A68" s="139"/>
      <c r="B68" s="141" t="s">
        <v>104</v>
      </c>
      <c r="C68" s="379" t="s">
        <v>105</v>
      </c>
      <c r="D68" s="380"/>
      <c r="E68" s="380"/>
      <c r="F68" s="154" t="s">
        <v>27</v>
      </c>
      <c r="G68" s="147"/>
      <c r="H68" s="147"/>
      <c r="I68" s="147">
        <f>'01 01. Pol'!G204</f>
        <v>0</v>
      </c>
      <c r="J68"/>
    </row>
    <row r="69" spans="1:10" ht="25.5" customHeight="1" x14ac:dyDescent="0.2">
      <c r="A69" s="139"/>
      <c r="B69" s="141" t="s">
        <v>106</v>
      </c>
      <c r="C69" s="379" t="s">
        <v>107</v>
      </c>
      <c r="D69" s="380"/>
      <c r="E69" s="380"/>
      <c r="F69" s="154" t="s">
        <v>28</v>
      </c>
      <c r="G69" s="147"/>
      <c r="H69" s="147"/>
      <c r="I69" s="147">
        <f>'01 01. Pol'!G212</f>
        <v>0</v>
      </c>
      <c r="J69"/>
    </row>
    <row r="70" spans="1:10" ht="25.5" customHeight="1" x14ac:dyDescent="0.2">
      <c r="A70" s="139"/>
      <c r="B70" s="141" t="s">
        <v>108</v>
      </c>
      <c r="C70" s="379" t="s">
        <v>109</v>
      </c>
      <c r="D70" s="380"/>
      <c r="E70" s="380"/>
      <c r="F70" s="154" t="s">
        <v>28</v>
      </c>
      <c r="G70" s="147"/>
      <c r="H70" s="147"/>
      <c r="I70" s="147">
        <f>'01 01. Pol'!G265</f>
        <v>0</v>
      </c>
      <c r="J70"/>
    </row>
    <row r="71" spans="1:10" ht="25.5" customHeight="1" x14ac:dyDescent="0.2">
      <c r="A71" s="139"/>
      <c r="B71" s="141" t="s">
        <v>110</v>
      </c>
      <c r="C71" s="379" t="s">
        <v>111</v>
      </c>
      <c r="D71" s="380"/>
      <c r="E71" s="380"/>
      <c r="F71" s="154" t="s">
        <v>112</v>
      </c>
      <c r="G71" s="147"/>
      <c r="H71" s="147"/>
      <c r="I71" s="147">
        <f>'01 01. Pol'!G270</f>
        <v>0</v>
      </c>
      <c r="J71"/>
    </row>
    <row r="72" spans="1:10" ht="25.5" customHeight="1" x14ac:dyDescent="0.2">
      <c r="A72" s="139"/>
      <c r="B72" s="151" t="s">
        <v>113</v>
      </c>
      <c r="C72" s="383" t="s">
        <v>29</v>
      </c>
      <c r="D72" s="384"/>
      <c r="E72" s="384"/>
      <c r="F72" s="155" t="s">
        <v>113</v>
      </c>
      <c r="G72" s="152"/>
      <c r="H72" s="152"/>
      <c r="I72" s="152">
        <f>'01 01. Pol'!G276</f>
        <v>0</v>
      </c>
      <c r="J72"/>
    </row>
    <row r="73" spans="1:10" ht="25.5" customHeight="1" x14ac:dyDescent="0.2">
      <c r="A73" s="140"/>
      <c r="B73" s="144" t="s">
        <v>1</v>
      </c>
      <c r="C73" s="144"/>
      <c r="D73" s="145"/>
      <c r="E73" s="145"/>
      <c r="F73" s="156"/>
      <c r="G73" s="148"/>
      <c r="H73" s="148"/>
      <c r="I73" s="148">
        <f>SUM(I49:I72)</f>
        <v>0</v>
      </c>
      <c r="J73"/>
    </row>
    <row r="74" spans="1:10" x14ac:dyDescent="0.2">
      <c r="F74" s="104"/>
      <c r="G74" s="103"/>
      <c r="H74" s="104"/>
      <c r="I74" s="103"/>
      <c r="J74" s="105"/>
    </row>
    <row r="75" spans="1:10" x14ac:dyDescent="0.2">
      <c r="F75" s="104"/>
      <c r="G75" s="103"/>
      <c r="H75" s="104"/>
      <c r="I75" s="103"/>
      <c r="J75" s="105"/>
    </row>
    <row r="76" spans="1:10" x14ac:dyDescent="0.2">
      <c r="F76" s="104"/>
      <c r="G76" s="103"/>
      <c r="H76" s="104"/>
      <c r="I76" s="103"/>
      <c r="J76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70:E70"/>
    <mergeCell ref="C71:E71"/>
    <mergeCell ref="C72:E72"/>
    <mergeCell ref="C63:E63"/>
    <mergeCell ref="C64:E64"/>
    <mergeCell ref="C65:E65"/>
    <mergeCell ref="C66:E66"/>
    <mergeCell ref="C67:E67"/>
    <mergeCell ref="C68:E68"/>
    <mergeCell ref="C59:E59"/>
    <mergeCell ref="C60:E60"/>
    <mergeCell ref="C61:E61"/>
    <mergeCell ref="C69:E69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0:E50"/>
    <mergeCell ref="C39:E39"/>
    <mergeCell ref="C40:E40"/>
    <mergeCell ref="C41:E41"/>
    <mergeCell ref="B42:E42"/>
    <mergeCell ref="I17:J17"/>
    <mergeCell ref="D35:E35"/>
    <mergeCell ref="G27:I27"/>
    <mergeCell ref="G29:I29"/>
    <mergeCell ref="G28:I28"/>
    <mergeCell ref="E15:F15"/>
    <mergeCell ref="G25:I25"/>
    <mergeCell ref="I16:J16"/>
    <mergeCell ref="I19:J19"/>
    <mergeCell ref="G21:H21"/>
    <mergeCell ref="G19:H19"/>
    <mergeCell ref="G20:H20"/>
    <mergeCell ref="G24:I24"/>
    <mergeCell ref="G23:I23"/>
    <mergeCell ref="I20:J20"/>
    <mergeCell ref="I18:J18"/>
    <mergeCell ref="G18:H18"/>
    <mergeCell ref="B1:J1"/>
    <mergeCell ref="G26:I26"/>
    <mergeCell ref="E21:F21"/>
    <mergeCell ref="E19:F19"/>
    <mergeCell ref="E20:F20"/>
    <mergeCell ref="I21:J21"/>
    <mergeCell ref="I15:J15"/>
    <mergeCell ref="E17:F17"/>
    <mergeCell ref="E18:F18"/>
    <mergeCell ref="D11:G11"/>
    <mergeCell ref="G15:H15"/>
    <mergeCell ref="E16:F16"/>
    <mergeCell ref="D12:G12"/>
    <mergeCell ref="D13:G13"/>
    <mergeCell ref="G16:H16"/>
    <mergeCell ref="G17:H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85" t="s">
        <v>7</v>
      </c>
      <c r="B1" s="385"/>
      <c r="C1" s="386"/>
      <c r="D1" s="385"/>
      <c r="E1" s="385"/>
      <c r="F1" s="385"/>
      <c r="G1" s="385"/>
    </row>
    <row r="2" spans="1:7" ht="24.95" customHeight="1" x14ac:dyDescent="0.2">
      <c r="A2" s="75" t="s">
        <v>8</v>
      </c>
      <c r="B2" s="74"/>
      <c r="C2" s="387"/>
      <c r="D2" s="387"/>
      <c r="E2" s="387"/>
      <c r="F2" s="387"/>
      <c r="G2" s="388"/>
    </row>
    <row r="3" spans="1:7" ht="24.95" customHeight="1" x14ac:dyDescent="0.2">
      <c r="A3" s="75" t="s">
        <v>9</v>
      </c>
      <c r="B3" s="74"/>
      <c r="C3" s="387"/>
      <c r="D3" s="387"/>
      <c r="E3" s="387"/>
      <c r="F3" s="387"/>
      <c r="G3" s="388"/>
    </row>
    <row r="4" spans="1:7" ht="24.95" customHeight="1" x14ac:dyDescent="0.2">
      <c r="A4" s="75" t="s">
        <v>10</v>
      </c>
      <c r="B4" s="74"/>
      <c r="C4" s="387"/>
      <c r="D4" s="387"/>
      <c r="E4" s="387"/>
      <c r="F4" s="387"/>
      <c r="G4" s="38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outlinePr summaryBelow="0"/>
  </sheetPr>
  <dimension ref="A1:AU5001"/>
  <sheetViews>
    <sheetView tabSelected="1" view="pageBreakPreview" topLeftCell="A262" zoomScaleNormal="100" zoomScaleSheetLayoutView="100" workbookViewId="0">
      <selection activeCell="Q5" sqref="Q5:Z5"/>
    </sheetView>
  </sheetViews>
  <sheetFormatPr defaultRowHeight="12.75" outlineLevelRow="1" x14ac:dyDescent="0.2"/>
  <cols>
    <col min="1" max="1" width="4.28515625" customWidth="1"/>
    <col min="2" max="2" width="12.42578125" style="102" customWidth="1"/>
    <col min="3" max="3" width="42.85546875" style="102" customWidth="1"/>
    <col min="4" max="4" width="4.5703125" customWidth="1"/>
    <col min="5" max="5" width="10.5703125" customWidth="1"/>
    <col min="6" max="6" width="9.85546875" customWidth="1"/>
    <col min="7" max="7" width="11.7109375" bestFit="1" customWidth="1"/>
    <col min="8" max="8" width="6.7109375" customWidth="1"/>
    <col min="9" max="9" width="8.28515625" customWidth="1"/>
    <col min="10" max="16" width="9.140625" customWidth="1"/>
    <col min="17" max="26" width="9.140625" hidden="1" customWidth="1"/>
    <col min="27" max="78" width="9.140625" customWidth="1"/>
  </cols>
  <sheetData>
    <row r="1" spans="1:47" ht="15.75" customHeight="1" x14ac:dyDescent="0.25">
      <c r="A1" s="401" t="s">
        <v>7</v>
      </c>
      <c r="B1" s="401"/>
      <c r="C1" s="401"/>
      <c r="D1" s="401"/>
      <c r="E1" s="401"/>
      <c r="F1" s="401"/>
      <c r="G1" s="401"/>
      <c r="T1" t="s">
        <v>115</v>
      </c>
    </row>
    <row r="2" spans="1:47" ht="24.95" customHeight="1" x14ac:dyDescent="0.2">
      <c r="A2" s="159" t="s">
        <v>8</v>
      </c>
      <c r="B2" s="74" t="s">
        <v>44</v>
      </c>
      <c r="C2" s="402" t="s">
        <v>45</v>
      </c>
      <c r="D2" s="403"/>
      <c r="E2" s="403"/>
      <c r="F2" s="403"/>
      <c r="G2" s="404"/>
      <c r="T2" t="s">
        <v>116</v>
      </c>
    </row>
    <row r="3" spans="1:47" ht="24.95" customHeight="1" x14ac:dyDescent="0.2">
      <c r="A3" s="159" t="s">
        <v>9</v>
      </c>
      <c r="B3" s="74" t="s">
        <v>41</v>
      </c>
      <c r="C3" s="402" t="s">
        <v>40</v>
      </c>
      <c r="D3" s="403"/>
      <c r="E3" s="403"/>
      <c r="F3" s="403"/>
      <c r="G3" s="404"/>
      <c r="P3" s="102" t="s">
        <v>116</v>
      </c>
      <c r="T3" t="s">
        <v>117</v>
      </c>
    </row>
    <row r="4" spans="1:47" ht="24.95" customHeight="1" x14ac:dyDescent="0.2">
      <c r="A4" s="160" t="s">
        <v>10</v>
      </c>
      <c r="B4" s="161" t="s">
        <v>39</v>
      </c>
      <c r="C4" s="405" t="s">
        <v>40</v>
      </c>
      <c r="D4" s="406"/>
      <c r="E4" s="406"/>
      <c r="F4" s="406"/>
      <c r="G4" s="407"/>
      <c r="T4" t="s">
        <v>118</v>
      </c>
    </row>
    <row r="5" spans="1:47" x14ac:dyDescent="0.2">
      <c r="D5" s="158"/>
    </row>
    <row r="6" spans="1:47" ht="25.5" x14ac:dyDescent="0.2">
      <c r="A6" s="167" t="s">
        <v>119</v>
      </c>
      <c r="B6" s="165" t="s">
        <v>120</v>
      </c>
      <c r="C6" s="165" t="s">
        <v>121</v>
      </c>
      <c r="D6" s="166" t="s">
        <v>122</v>
      </c>
      <c r="E6" s="167" t="s">
        <v>123</v>
      </c>
      <c r="F6" s="162" t="s">
        <v>124</v>
      </c>
      <c r="G6" s="167" t="s">
        <v>31</v>
      </c>
      <c r="H6" s="168" t="s">
        <v>125</v>
      </c>
      <c r="I6" s="168" t="s">
        <v>126</v>
      </c>
    </row>
    <row r="7" spans="1:47" x14ac:dyDescent="0.2">
      <c r="A7" s="169" t="s">
        <v>127</v>
      </c>
      <c r="B7" s="171" t="s">
        <v>66</v>
      </c>
      <c r="C7" s="172" t="s">
        <v>67</v>
      </c>
      <c r="D7" s="173"/>
      <c r="E7" s="179"/>
      <c r="F7" s="183"/>
      <c r="G7" s="183">
        <f>SUMIF(T8:T9,"&lt;&gt;NOR",G8:G9)</f>
        <v>0</v>
      </c>
      <c r="H7" s="183"/>
      <c r="I7" s="183"/>
      <c r="T7" t="s">
        <v>128</v>
      </c>
    </row>
    <row r="8" spans="1:47" outlineLevel="1" x14ac:dyDescent="0.2">
      <c r="A8" s="164">
        <v>1</v>
      </c>
      <c r="B8" s="174" t="s">
        <v>129</v>
      </c>
      <c r="C8" s="197" t="s">
        <v>130</v>
      </c>
      <c r="D8" s="176" t="s">
        <v>131</v>
      </c>
      <c r="E8" s="180">
        <v>6.6</v>
      </c>
      <c r="F8" s="184">
        <v>0</v>
      </c>
      <c r="G8" s="185">
        <f>ROUND(E8*F8,2)</f>
        <v>0</v>
      </c>
      <c r="H8" s="185" t="s">
        <v>132</v>
      </c>
      <c r="I8" s="185" t="s">
        <v>133</v>
      </c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 t="s">
        <v>134</v>
      </c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</row>
    <row r="9" spans="1:47" outlineLevel="1" x14ac:dyDescent="0.2">
      <c r="A9" s="164"/>
      <c r="B9" s="174"/>
      <c r="C9" s="198" t="s">
        <v>135</v>
      </c>
      <c r="D9" s="177"/>
      <c r="E9" s="181">
        <v>6.6</v>
      </c>
      <c r="F9" s="185"/>
      <c r="G9" s="185"/>
      <c r="H9" s="185"/>
      <c r="I9" s="185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 t="s">
        <v>136</v>
      </c>
      <c r="U9" s="163">
        <v>0</v>
      </c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</row>
    <row r="10" spans="1:47" x14ac:dyDescent="0.2">
      <c r="A10" s="170" t="s">
        <v>127</v>
      </c>
      <c r="B10" s="175" t="s">
        <v>68</v>
      </c>
      <c r="C10" s="199" t="s">
        <v>69</v>
      </c>
      <c r="D10" s="178"/>
      <c r="E10" s="182"/>
      <c r="F10" s="186"/>
      <c r="G10" s="186">
        <f>SUMIF(T11:T13,"&lt;&gt;NOR",G11:G13)</f>
        <v>0</v>
      </c>
      <c r="H10" s="186"/>
      <c r="I10" s="186"/>
      <c r="T10" t="s">
        <v>128</v>
      </c>
    </row>
    <row r="11" spans="1:47" ht="22.5" outlineLevel="1" x14ac:dyDescent="0.2">
      <c r="A11" s="164">
        <v>2</v>
      </c>
      <c r="B11" s="174" t="s">
        <v>137</v>
      </c>
      <c r="C11" s="197" t="s">
        <v>138</v>
      </c>
      <c r="D11" s="176" t="s">
        <v>131</v>
      </c>
      <c r="E11" s="180">
        <v>34.979999999999997</v>
      </c>
      <c r="F11" s="184">
        <v>0</v>
      </c>
      <c r="G11" s="185">
        <f>ROUND(E11*F11,2)</f>
        <v>0</v>
      </c>
      <c r="H11" s="185" t="s">
        <v>132</v>
      </c>
      <c r="I11" s="185" t="s">
        <v>133</v>
      </c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 t="s">
        <v>134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</row>
    <row r="12" spans="1:47" ht="22.5" outlineLevel="1" x14ac:dyDescent="0.2">
      <c r="A12" s="164"/>
      <c r="B12" s="174"/>
      <c r="C12" s="198" t="s">
        <v>139</v>
      </c>
      <c r="D12" s="177"/>
      <c r="E12" s="181">
        <v>13.92</v>
      </c>
      <c r="F12" s="185"/>
      <c r="G12" s="185"/>
      <c r="H12" s="185"/>
      <c r="I12" s="185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 t="s">
        <v>136</v>
      </c>
      <c r="U12" s="163">
        <v>0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</row>
    <row r="13" spans="1:47" outlineLevel="1" x14ac:dyDescent="0.2">
      <c r="A13" s="164"/>
      <c r="B13" s="174"/>
      <c r="C13" s="198" t="s">
        <v>140</v>
      </c>
      <c r="D13" s="177"/>
      <c r="E13" s="181">
        <v>21.06</v>
      </c>
      <c r="F13" s="185"/>
      <c r="G13" s="185"/>
      <c r="H13" s="185"/>
      <c r="I13" s="185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 t="s">
        <v>136</v>
      </c>
      <c r="U13" s="163">
        <v>0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</row>
    <row r="14" spans="1:47" x14ac:dyDescent="0.2">
      <c r="A14" s="170" t="s">
        <v>127</v>
      </c>
      <c r="B14" s="175" t="s">
        <v>70</v>
      </c>
      <c r="C14" s="199" t="s">
        <v>71</v>
      </c>
      <c r="D14" s="178"/>
      <c r="E14" s="182"/>
      <c r="F14" s="186"/>
      <c r="G14" s="186">
        <f>SUMIF(T15:T46,"&lt;&gt;NOR",G15:G46)</f>
        <v>0</v>
      </c>
      <c r="H14" s="186"/>
      <c r="I14" s="186"/>
      <c r="T14" t="s">
        <v>128</v>
      </c>
    </row>
    <row r="15" spans="1:47" outlineLevel="1" x14ac:dyDescent="0.2">
      <c r="A15" s="164">
        <v>3</v>
      </c>
      <c r="B15" s="174" t="s">
        <v>141</v>
      </c>
      <c r="C15" s="197" t="s">
        <v>142</v>
      </c>
      <c r="D15" s="176" t="s">
        <v>143</v>
      </c>
      <c r="E15" s="180">
        <v>11.06325</v>
      </c>
      <c r="F15" s="184">
        <v>0</v>
      </c>
      <c r="G15" s="185">
        <f>ROUND(E15*F15,2)</f>
        <v>0</v>
      </c>
      <c r="H15" s="185" t="s">
        <v>132</v>
      </c>
      <c r="I15" s="185" t="s">
        <v>133</v>
      </c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 t="s">
        <v>134</v>
      </c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</row>
    <row r="16" spans="1:47" outlineLevel="1" x14ac:dyDescent="0.2">
      <c r="A16" s="164"/>
      <c r="B16" s="174"/>
      <c r="C16" s="198" t="s">
        <v>144</v>
      </c>
      <c r="D16" s="177"/>
      <c r="E16" s="181">
        <v>11.06325</v>
      </c>
      <c r="F16" s="185"/>
      <c r="G16" s="185"/>
      <c r="H16" s="185"/>
      <c r="I16" s="185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 t="s">
        <v>136</v>
      </c>
      <c r="U16" s="163">
        <v>0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</row>
    <row r="17" spans="1:47" ht="22.5" outlineLevel="1" x14ac:dyDescent="0.2">
      <c r="A17" s="164">
        <v>4</v>
      </c>
      <c r="B17" s="174" t="s">
        <v>145</v>
      </c>
      <c r="C17" s="197" t="s">
        <v>683</v>
      </c>
      <c r="D17" s="176" t="s">
        <v>146</v>
      </c>
      <c r="E17" s="180">
        <v>202.55</v>
      </c>
      <c r="F17" s="184">
        <v>0</v>
      </c>
      <c r="G17" s="185">
        <f>ROUND(E17*F17,2)</f>
        <v>0</v>
      </c>
      <c r="H17" s="185" t="s">
        <v>132</v>
      </c>
      <c r="I17" s="185" t="s">
        <v>180</v>
      </c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 t="s">
        <v>134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</row>
    <row r="18" spans="1:47" outlineLevel="1" x14ac:dyDescent="0.2">
      <c r="A18" s="164"/>
      <c r="B18" s="174"/>
      <c r="C18" s="198" t="s">
        <v>147</v>
      </c>
      <c r="D18" s="177"/>
      <c r="E18" s="181">
        <v>0.9</v>
      </c>
      <c r="F18" s="185"/>
      <c r="G18" s="185"/>
      <c r="H18" s="185"/>
      <c r="I18" s="185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 t="s">
        <v>136</v>
      </c>
      <c r="U18" s="163">
        <v>0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</row>
    <row r="19" spans="1:47" outlineLevel="1" x14ac:dyDescent="0.2">
      <c r="A19" s="164"/>
      <c r="B19" s="174"/>
      <c r="C19" s="198" t="s">
        <v>148</v>
      </c>
      <c r="D19" s="177"/>
      <c r="E19" s="181">
        <v>8.4</v>
      </c>
      <c r="F19" s="185"/>
      <c r="G19" s="185"/>
      <c r="H19" s="185"/>
      <c r="I19" s="185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 t="s">
        <v>136</v>
      </c>
      <c r="U19" s="163">
        <v>0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</row>
    <row r="20" spans="1:47" outlineLevel="1" x14ac:dyDescent="0.2">
      <c r="A20" s="164"/>
      <c r="B20" s="174"/>
      <c r="C20" s="198" t="s">
        <v>149</v>
      </c>
      <c r="D20" s="177"/>
      <c r="E20" s="181">
        <v>1.4</v>
      </c>
      <c r="F20" s="185"/>
      <c r="G20" s="185"/>
      <c r="H20" s="185"/>
      <c r="I20" s="185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 t="s">
        <v>136</v>
      </c>
      <c r="U20" s="163">
        <v>0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</row>
    <row r="21" spans="1:47" outlineLevel="1" x14ac:dyDescent="0.2">
      <c r="A21" s="164"/>
      <c r="B21" s="174"/>
      <c r="C21" s="198" t="s">
        <v>150</v>
      </c>
      <c r="D21" s="177"/>
      <c r="E21" s="181">
        <v>1.4</v>
      </c>
      <c r="F21" s="185"/>
      <c r="G21" s="185"/>
      <c r="H21" s="185"/>
      <c r="I21" s="185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 t="s">
        <v>136</v>
      </c>
      <c r="U21" s="163">
        <v>0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</row>
    <row r="22" spans="1:47" outlineLevel="1" x14ac:dyDescent="0.2">
      <c r="A22" s="164"/>
      <c r="B22" s="174"/>
      <c r="C22" s="198" t="s">
        <v>151</v>
      </c>
      <c r="D22" s="177"/>
      <c r="E22" s="181">
        <v>0.9</v>
      </c>
      <c r="F22" s="185"/>
      <c r="G22" s="185"/>
      <c r="H22" s="185"/>
      <c r="I22" s="185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 t="s">
        <v>136</v>
      </c>
      <c r="U22" s="163">
        <v>0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</row>
    <row r="23" spans="1:47" outlineLevel="1" x14ac:dyDescent="0.2">
      <c r="A23" s="164"/>
      <c r="B23" s="174"/>
      <c r="C23" s="198" t="s">
        <v>152</v>
      </c>
      <c r="D23" s="177"/>
      <c r="E23" s="181">
        <v>1.4</v>
      </c>
      <c r="F23" s="185"/>
      <c r="G23" s="185"/>
      <c r="H23" s="185"/>
      <c r="I23" s="185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 t="s">
        <v>136</v>
      </c>
      <c r="U23" s="163">
        <v>0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</row>
    <row r="24" spans="1:47" outlineLevel="1" x14ac:dyDescent="0.2">
      <c r="A24" s="164"/>
      <c r="B24" s="174"/>
      <c r="C24" s="198" t="s">
        <v>153</v>
      </c>
      <c r="D24" s="177"/>
      <c r="E24" s="181">
        <v>2.7</v>
      </c>
      <c r="F24" s="185"/>
      <c r="G24" s="185"/>
      <c r="H24" s="185"/>
      <c r="I24" s="185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 t="s">
        <v>136</v>
      </c>
      <c r="U24" s="163">
        <v>0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</row>
    <row r="25" spans="1:47" outlineLevel="1" x14ac:dyDescent="0.2">
      <c r="A25" s="164"/>
      <c r="B25" s="174"/>
      <c r="C25" s="198" t="s">
        <v>154</v>
      </c>
      <c r="D25" s="177"/>
      <c r="E25" s="181">
        <v>3.2</v>
      </c>
      <c r="F25" s="185"/>
      <c r="G25" s="185"/>
      <c r="H25" s="185"/>
      <c r="I25" s="185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 t="s">
        <v>136</v>
      </c>
      <c r="U25" s="163">
        <v>0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</row>
    <row r="26" spans="1:47" outlineLevel="1" x14ac:dyDescent="0.2">
      <c r="A26" s="164"/>
      <c r="B26" s="174"/>
      <c r="C26" s="198" t="s">
        <v>155</v>
      </c>
      <c r="D26" s="177"/>
      <c r="E26" s="181">
        <v>2.8</v>
      </c>
      <c r="F26" s="185"/>
      <c r="G26" s="185"/>
      <c r="H26" s="185"/>
      <c r="I26" s="185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 t="s">
        <v>136</v>
      </c>
      <c r="U26" s="163">
        <v>0</v>
      </c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</row>
    <row r="27" spans="1:47" outlineLevel="1" x14ac:dyDescent="0.2">
      <c r="A27" s="164"/>
      <c r="B27" s="174"/>
      <c r="C27" s="198" t="s">
        <v>156</v>
      </c>
      <c r="D27" s="177"/>
      <c r="E27" s="181"/>
      <c r="F27" s="185"/>
      <c r="G27" s="185"/>
      <c r="H27" s="185"/>
      <c r="I27" s="185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 t="s">
        <v>136</v>
      </c>
      <c r="U27" s="163">
        <v>0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</row>
    <row r="28" spans="1:47" outlineLevel="1" x14ac:dyDescent="0.2">
      <c r="A28" s="164"/>
      <c r="B28" s="174"/>
      <c r="C28" s="198" t="s">
        <v>157</v>
      </c>
      <c r="D28" s="177"/>
      <c r="E28" s="181"/>
      <c r="F28" s="185"/>
      <c r="G28" s="185"/>
      <c r="H28" s="185"/>
      <c r="I28" s="185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 t="s">
        <v>136</v>
      </c>
      <c r="U28" s="163">
        <v>0</v>
      </c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</row>
    <row r="29" spans="1:47" outlineLevel="1" x14ac:dyDescent="0.2">
      <c r="A29" s="164"/>
      <c r="B29" s="174"/>
      <c r="C29" s="198" t="s">
        <v>158</v>
      </c>
      <c r="D29" s="177"/>
      <c r="E29" s="181">
        <v>20</v>
      </c>
      <c r="F29" s="185"/>
      <c r="G29" s="185"/>
      <c r="H29" s="185"/>
      <c r="I29" s="185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 t="s">
        <v>136</v>
      </c>
      <c r="U29" s="163">
        <v>0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</row>
    <row r="30" spans="1:47" outlineLevel="1" x14ac:dyDescent="0.2">
      <c r="A30" s="164"/>
      <c r="B30" s="174"/>
      <c r="C30" s="198" t="s">
        <v>159</v>
      </c>
      <c r="D30" s="177"/>
      <c r="E30" s="181">
        <v>30.6</v>
      </c>
      <c r="F30" s="185"/>
      <c r="G30" s="185"/>
      <c r="H30" s="185"/>
      <c r="I30" s="185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 t="s">
        <v>136</v>
      </c>
      <c r="U30" s="163">
        <v>0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</row>
    <row r="31" spans="1:47" outlineLevel="1" x14ac:dyDescent="0.2">
      <c r="A31" s="164"/>
      <c r="B31" s="174"/>
      <c r="C31" s="205" t="s">
        <v>160</v>
      </c>
      <c r="D31" s="177"/>
      <c r="E31" s="181">
        <v>29.55</v>
      </c>
      <c r="F31" s="185"/>
      <c r="G31" s="185"/>
      <c r="H31" s="185"/>
      <c r="I31" s="185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 t="s">
        <v>136</v>
      </c>
      <c r="U31" s="163">
        <v>0</v>
      </c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</row>
    <row r="32" spans="1:47" outlineLevel="1" x14ac:dyDescent="0.2">
      <c r="A32" s="164"/>
      <c r="B32" s="174"/>
      <c r="C32" s="198" t="s">
        <v>161</v>
      </c>
      <c r="D32" s="177"/>
      <c r="E32" s="181">
        <v>12.6</v>
      </c>
      <c r="F32" s="185"/>
      <c r="G32" s="185"/>
      <c r="H32" s="185"/>
      <c r="I32" s="185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 t="s">
        <v>136</v>
      </c>
      <c r="U32" s="163">
        <v>0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</row>
    <row r="33" spans="1:47" outlineLevel="1" x14ac:dyDescent="0.2">
      <c r="A33" s="164"/>
      <c r="B33" s="174"/>
      <c r="C33" s="198" t="s">
        <v>162</v>
      </c>
      <c r="D33" s="177"/>
      <c r="E33" s="181">
        <v>9.1999999999999993</v>
      </c>
      <c r="F33" s="185"/>
      <c r="G33" s="185"/>
      <c r="H33" s="185"/>
      <c r="I33" s="185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 t="s">
        <v>136</v>
      </c>
      <c r="U33" s="163">
        <v>0</v>
      </c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</row>
    <row r="34" spans="1:47" outlineLevel="1" x14ac:dyDescent="0.2">
      <c r="A34" s="164"/>
      <c r="B34" s="174"/>
      <c r="C34" s="198" t="s">
        <v>163</v>
      </c>
      <c r="D34" s="177"/>
      <c r="E34" s="181">
        <v>12.1</v>
      </c>
      <c r="F34" s="185"/>
      <c r="G34" s="185"/>
      <c r="H34" s="185"/>
      <c r="I34" s="185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 t="s">
        <v>136</v>
      </c>
      <c r="U34" s="163">
        <v>0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</row>
    <row r="35" spans="1:47" outlineLevel="1" x14ac:dyDescent="0.2">
      <c r="A35" s="164"/>
      <c r="B35" s="174"/>
      <c r="C35" s="198" t="s">
        <v>164</v>
      </c>
      <c r="D35" s="177"/>
      <c r="E35" s="181">
        <v>37.799999999999997</v>
      </c>
      <c r="F35" s="185"/>
      <c r="G35" s="185"/>
      <c r="H35" s="185"/>
      <c r="I35" s="185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 t="s">
        <v>136</v>
      </c>
      <c r="U35" s="163">
        <v>0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</row>
    <row r="36" spans="1:47" outlineLevel="1" x14ac:dyDescent="0.2">
      <c r="A36" s="164"/>
      <c r="B36" s="174"/>
      <c r="C36" s="198" t="s">
        <v>165</v>
      </c>
      <c r="D36" s="177"/>
      <c r="E36" s="181"/>
      <c r="F36" s="185"/>
      <c r="G36" s="185"/>
      <c r="H36" s="185"/>
      <c r="I36" s="185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 t="s">
        <v>136</v>
      </c>
      <c r="U36" s="163">
        <v>0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</row>
    <row r="37" spans="1:47" ht="33.75" outlineLevel="1" x14ac:dyDescent="0.2">
      <c r="A37" s="164"/>
      <c r="B37" s="174"/>
      <c r="C37" s="198" t="s">
        <v>166</v>
      </c>
      <c r="D37" s="177"/>
      <c r="E37" s="181">
        <v>14.8</v>
      </c>
      <c r="F37" s="185"/>
      <c r="G37" s="185"/>
      <c r="H37" s="185"/>
      <c r="I37" s="185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 t="s">
        <v>136</v>
      </c>
      <c r="U37" s="163">
        <v>0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</row>
    <row r="38" spans="1:47" outlineLevel="1" x14ac:dyDescent="0.2">
      <c r="A38" s="164"/>
      <c r="B38" s="174"/>
      <c r="C38" s="198" t="s">
        <v>167</v>
      </c>
      <c r="D38" s="177"/>
      <c r="E38" s="181">
        <v>1.8</v>
      </c>
      <c r="F38" s="185"/>
      <c r="G38" s="185"/>
      <c r="H38" s="185"/>
      <c r="I38" s="185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 t="s">
        <v>136</v>
      </c>
      <c r="U38" s="163">
        <v>0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</row>
    <row r="39" spans="1:47" outlineLevel="1" x14ac:dyDescent="0.2">
      <c r="A39" s="164"/>
      <c r="B39" s="174"/>
      <c r="C39" s="198" t="s">
        <v>168</v>
      </c>
      <c r="D39" s="177"/>
      <c r="E39" s="181">
        <v>1.8</v>
      </c>
      <c r="F39" s="185"/>
      <c r="G39" s="185"/>
      <c r="H39" s="185"/>
      <c r="I39" s="185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 t="s">
        <v>136</v>
      </c>
      <c r="U39" s="163">
        <v>0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</row>
    <row r="40" spans="1:47" outlineLevel="1" x14ac:dyDescent="0.2">
      <c r="A40" s="164"/>
      <c r="B40" s="174"/>
      <c r="C40" s="198" t="s">
        <v>169</v>
      </c>
      <c r="D40" s="177"/>
      <c r="E40" s="181">
        <v>1.8</v>
      </c>
      <c r="F40" s="185"/>
      <c r="G40" s="185"/>
      <c r="H40" s="185"/>
      <c r="I40" s="185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 t="s">
        <v>136</v>
      </c>
      <c r="U40" s="163">
        <v>0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</row>
    <row r="41" spans="1:47" outlineLevel="1" x14ac:dyDescent="0.2">
      <c r="A41" s="164"/>
      <c r="B41" s="174"/>
      <c r="C41" s="198" t="s">
        <v>170</v>
      </c>
      <c r="D41" s="177"/>
      <c r="E41" s="181">
        <v>3.8</v>
      </c>
      <c r="F41" s="185"/>
      <c r="G41" s="185"/>
      <c r="H41" s="185"/>
      <c r="I41" s="185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 t="s">
        <v>136</v>
      </c>
      <c r="U41" s="163">
        <v>0</v>
      </c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</row>
    <row r="42" spans="1:47" outlineLevel="1" x14ac:dyDescent="0.2">
      <c r="A42" s="164"/>
      <c r="B42" s="174"/>
      <c r="C42" s="198" t="s">
        <v>171</v>
      </c>
      <c r="D42" s="177"/>
      <c r="E42" s="181">
        <v>3.6</v>
      </c>
      <c r="F42" s="185"/>
      <c r="G42" s="185"/>
      <c r="H42" s="185"/>
      <c r="I42" s="185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 t="s">
        <v>136</v>
      </c>
      <c r="U42" s="163">
        <v>0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</row>
    <row r="43" spans="1:47" outlineLevel="1" x14ac:dyDescent="0.2">
      <c r="A43" s="164">
        <v>5</v>
      </c>
      <c r="B43" s="174" t="s">
        <v>172</v>
      </c>
      <c r="C43" s="197" t="s">
        <v>173</v>
      </c>
      <c r="D43" s="176" t="s">
        <v>143</v>
      </c>
      <c r="E43" s="180">
        <v>11.06325</v>
      </c>
      <c r="F43" s="184">
        <v>0</v>
      </c>
      <c r="G43" s="185">
        <f>ROUND(E43*F43,2)</f>
        <v>0</v>
      </c>
      <c r="H43" s="185" t="s">
        <v>132</v>
      </c>
      <c r="I43" s="185" t="s">
        <v>133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 t="s">
        <v>134</v>
      </c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</row>
    <row r="44" spans="1:47" outlineLevel="1" x14ac:dyDescent="0.2">
      <c r="A44" s="164">
        <v>6</v>
      </c>
      <c r="B44" s="174" t="s">
        <v>174</v>
      </c>
      <c r="C44" s="197" t="s">
        <v>175</v>
      </c>
      <c r="D44" s="176" t="s">
        <v>176</v>
      </c>
      <c r="E44" s="180">
        <v>8.5370000000000001E-2</v>
      </c>
      <c r="F44" s="184">
        <v>0</v>
      </c>
      <c r="G44" s="185">
        <f>ROUND(E44*F44,2)</f>
        <v>0</v>
      </c>
      <c r="H44" s="185" t="s">
        <v>132</v>
      </c>
      <c r="I44" s="185" t="s">
        <v>133</v>
      </c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 t="s">
        <v>134</v>
      </c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</row>
    <row r="45" spans="1:47" ht="22.5" outlineLevel="1" x14ac:dyDescent="0.2">
      <c r="A45" s="164"/>
      <c r="B45" s="174"/>
      <c r="C45" s="198" t="s">
        <v>177</v>
      </c>
      <c r="D45" s="177"/>
      <c r="E45" s="181">
        <v>8.5370000000000001E-2</v>
      </c>
      <c r="F45" s="185"/>
      <c r="G45" s="185"/>
      <c r="H45" s="185"/>
      <c r="I45" s="185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 t="s">
        <v>136</v>
      </c>
      <c r="U45" s="163">
        <v>0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</row>
    <row r="46" spans="1:47" outlineLevel="1" x14ac:dyDescent="0.2">
      <c r="A46" s="164">
        <v>7</v>
      </c>
      <c r="B46" s="174" t="s">
        <v>178</v>
      </c>
      <c r="C46" s="207" t="s">
        <v>179</v>
      </c>
      <c r="D46" s="176" t="s">
        <v>143</v>
      </c>
      <c r="E46" s="180">
        <v>11.06325</v>
      </c>
      <c r="F46" s="184">
        <v>0</v>
      </c>
      <c r="G46" s="185">
        <f>ROUND(E46*F46,2)</f>
        <v>0</v>
      </c>
      <c r="H46" s="185"/>
      <c r="I46" s="185" t="s">
        <v>180</v>
      </c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 t="s">
        <v>134</v>
      </c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</row>
    <row r="47" spans="1:47" x14ac:dyDescent="0.2">
      <c r="A47" s="170" t="s">
        <v>127</v>
      </c>
      <c r="B47" s="175" t="s">
        <v>72</v>
      </c>
      <c r="C47" s="199" t="s">
        <v>73</v>
      </c>
      <c r="D47" s="178"/>
      <c r="E47" s="182"/>
      <c r="F47" s="186"/>
      <c r="G47" s="186">
        <f>SUMIF(T48:T49,"&lt;&gt;NOR",G48:G49)</f>
        <v>0</v>
      </c>
      <c r="H47" s="186"/>
      <c r="I47" s="186"/>
      <c r="T47" t="s">
        <v>128</v>
      </c>
    </row>
    <row r="48" spans="1:47" ht="22.5" outlineLevel="1" x14ac:dyDescent="0.2">
      <c r="A48" s="164">
        <v>8</v>
      </c>
      <c r="B48" s="174" t="s">
        <v>181</v>
      </c>
      <c r="C48" s="197" t="s">
        <v>511</v>
      </c>
      <c r="D48" s="176" t="s">
        <v>182</v>
      </c>
      <c r="E48" s="180">
        <v>1</v>
      </c>
      <c r="F48" s="184">
        <v>0</v>
      </c>
      <c r="G48" s="185">
        <f>ROUND(E48*F48,2)</f>
        <v>0</v>
      </c>
      <c r="H48" s="185"/>
      <c r="I48" s="185" t="s">
        <v>180</v>
      </c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 t="s">
        <v>134</v>
      </c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</row>
    <row r="49" spans="1:47" outlineLevel="1" x14ac:dyDescent="0.2">
      <c r="A49" s="164">
        <v>9</v>
      </c>
      <c r="B49" s="174" t="s">
        <v>183</v>
      </c>
      <c r="C49" s="197" t="s">
        <v>184</v>
      </c>
      <c r="D49" s="176" t="s">
        <v>185</v>
      </c>
      <c r="E49" s="180">
        <v>1</v>
      </c>
      <c r="F49" s="184">
        <v>0</v>
      </c>
      <c r="G49" s="185">
        <f>ROUND(E49*F49,2)</f>
        <v>0</v>
      </c>
      <c r="H49" s="185"/>
      <c r="I49" s="185" t="s">
        <v>180</v>
      </c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 t="s">
        <v>134</v>
      </c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</row>
    <row r="50" spans="1:47" x14ac:dyDescent="0.2">
      <c r="A50" s="170" t="s">
        <v>127</v>
      </c>
      <c r="B50" s="175" t="s">
        <v>74</v>
      </c>
      <c r="C50" s="206" t="s">
        <v>75</v>
      </c>
      <c r="D50" s="178"/>
      <c r="E50" s="182"/>
      <c r="F50" s="186"/>
      <c r="G50" s="186">
        <f>SUMIF(T51:T60,"&lt;&gt;NOR",G51:G60)</f>
        <v>0</v>
      </c>
      <c r="H50" s="186"/>
      <c r="I50" s="186"/>
      <c r="T50" t="s">
        <v>128</v>
      </c>
    </row>
    <row r="51" spans="1:47" outlineLevel="1" x14ac:dyDescent="0.2">
      <c r="A51" s="164">
        <v>10</v>
      </c>
      <c r="B51" s="174" t="s">
        <v>186</v>
      </c>
      <c r="C51" s="197" t="s">
        <v>187</v>
      </c>
      <c r="D51" s="176" t="s">
        <v>131</v>
      </c>
      <c r="E51" s="180">
        <v>201.15</v>
      </c>
      <c r="F51" s="184">
        <v>0</v>
      </c>
      <c r="G51" s="185">
        <f>ROUND(E51*F51,2)</f>
        <v>0</v>
      </c>
      <c r="H51" s="185" t="s">
        <v>132</v>
      </c>
      <c r="I51" s="185" t="s">
        <v>133</v>
      </c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 t="s">
        <v>134</v>
      </c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</row>
    <row r="52" spans="1:47" outlineLevel="1" x14ac:dyDescent="0.2">
      <c r="A52" s="164"/>
      <c r="B52" s="174"/>
      <c r="C52" s="198" t="s">
        <v>188</v>
      </c>
      <c r="D52" s="177"/>
      <c r="E52" s="181">
        <v>20</v>
      </c>
      <c r="F52" s="185"/>
      <c r="G52" s="185"/>
      <c r="H52" s="185"/>
      <c r="I52" s="185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 t="s">
        <v>136</v>
      </c>
      <c r="U52" s="163">
        <v>0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</row>
    <row r="53" spans="1:47" outlineLevel="1" x14ac:dyDescent="0.2">
      <c r="A53" s="164"/>
      <c r="B53" s="174"/>
      <c r="C53" s="198" t="s">
        <v>189</v>
      </c>
      <c r="D53" s="177"/>
      <c r="E53" s="181">
        <v>61.3</v>
      </c>
      <c r="F53" s="185"/>
      <c r="G53" s="185"/>
      <c r="H53" s="185"/>
      <c r="I53" s="185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 t="s">
        <v>136</v>
      </c>
      <c r="U53" s="163">
        <v>0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</row>
    <row r="54" spans="1:47" outlineLevel="1" x14ac:dyDescent="0.2">
      <c r="A54" s="164"/>
      <c r="B54" s="174"/>
      <c r="C54" s="198" t="s">
        <v>190</v>
      </c>
      <c r="D54" s="177"/>
      <c r="E54" s="181">
        <v>36.799999999999997</v>
      </c>
      <c r="F54" s="185"/>
      <c r="G54" s="185"/>
      <c r="H54" s="185"/>
      <c r="I54" s="185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 t="s">
        <v>136</v>
      </c>
      <c r="U54" s="163">
        <v>0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</row>
    <row r="55" spans="1:47" outlineLevel="1" x14ac:dyDescent="0.2">
      <c r="A55" s="164"/>
      <c r="B55" s="174"/>
      <c r="C55" s="198" t="s">
        <v>191</v>
      </c>
      <c r="D55" s="177"/>
      <c r="E55" s="181">
        <v>9.9</v>
      </c>
      <c r="F55" s="185"/>
      <c r="G55" s="185"/>
      <c r="H55" s="185"/>
      <c r="I55" s="185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 t="s">
        <v>136</v>
      </c>
      <c r="U55" s="163">
        <v>0</v>
      </c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</row>
    <row r="56" spans="1:47" outlineLevel="1" x14ac:dyDescent="0.2">
      <c r="A56" s="164"/>
      <c r="B56" s="174"/>
      <c r="C56" s="198" t="s">
        <v>192</v>
      </c>
      <c r="D56" s="177"/>
      <c r="E56" s="181">
        <v>8.6999999999999993</v>
      </c>
      <c r="F56" s="185"/>
      <c r="G56" s="185"/>
      <c r="H56" s="185"/>
      <c r="I56" s="185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 t="s">
        <v>136</v>
      </c>
      <c r="U56" s="163">
        <v>0</v>
      </c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</row>
    <row r="57" spans="1:47" outlineLevel="1" x14ac:dyDescent="0.2">
      <c r="A57" s="164"/>
      <c r="B57" s="174"/>
      <c r="C57" s="198" t="s">
        <v>193</v>
      </c>
      <c r="D57" s="177"/>
      <c r="E57" s="181">
        <v>14.25</v>
      </c>
      <c r="F57" s="185"/>
      <c r="G57" s="185"/>
      <c r="H57" s="185"/>
      <c r="I57" s="185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 t="s">
        <v>136</v>
      </c>
      <c r="U57" s="163">
        <v>0</v>
      </c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</row>
    <row r="58" spans="1:47" outlineLevel="1" x14ac:dyDescent="0.2">
      <c r="A58" s="164"/>
      <c r="B58" s="174"/>
      <c r="C58" s="198" t="s">
        <v>194</v>
      </c>
      <c r="D58" s="177"/>
      <c r="E58" s="181">
        <v>50.2</v>
      </c>
      <c r="F58" s="185"/>
      <c r="G58" s="185"/>
      <c r="H58" s="185"/>
      <c r="I58" s="185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 t="s">
        <v>136</v>
      </c>
      <c r="U58" s="163">
        <v>0</v>
      </c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</row>
    <row r="59" spans="1:47" outlineLevel="1" x14ac:dyDescent="0.2">
      <c r="A59" s="164">
        <v>11</v>
      </c>
      <c r="B59" s="174" t="s">
        <v>195</v>
      </c>
      <c r="C59" s="197" t="s">
        <v>196</v>
      </c>
      <c r="D59" s="176" t="s">
        <v>197</v>
      </c>
      <c r="E59" s="180">
        <v>122</v>
      </c>
      <c r="F59" s="184">
        <v>0</v>
      </c>
      <c r="G59" s="185">
        <f>ROUND(E59*F59,2)</f>
        <v>0</v>
      </c>
      <c r="H59" s="185" t="s">
        <v>198</v>
      </c>
      <c r="I59" s="185" t="s">
        <v>133</v>
      </c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 t="s">
        <v>134</v>
      </c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</row>
    <row r="60" spans="1:47" outlineLevel="1" x14ac:dyDescent="0.2">
      <c r="A60" s="164"/>
      <c r="B60" s="174"/>
      <c r="C60" s="198" t="s">
        <v>199</v>
      </c>
      <c r="D60" s="177"/>
      <c r="E60" s="181">
        <v>122</v>
      </c>
      <c r="F60" s="185"/>
      <c r="G60" s="185"/>
      <c r="H60" s="185"/>
      <c r="I60" s="185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 t="s">
        <v>136</v>
      </c>
      <c r="U60" s="163">
        <v>0</v>
      </c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</row>
    <row r="61" spans="1:47" x14ac:dyDescent="0.2">
      <c r="A61" s="170" t="s">
        <v>127</v>
      </c>
      <c r="B61" s="175" t="s">
        <v>76</v>
      </c>
      <c r="C61" s="199" t="s">
        <v>77</v>
      </c>
      <c r="D61" s="178"/>
      <c r="E61" s="182"/>
      <c r="F61" s="186"/>
      <c r="G61" s="186">
        <f>SUMIF(T62:T79,"&lt;&gt;NOR",G62:G79)</f>
        <v>0</v>
      </c>
      <c r="H61" s="186"/>
      <c r="I61" s="186"/>
      <c r="T61" t="s">
        <v>128</v>
      </c>
    </row>
    <row r="62" spans="1:47" outlineLevel="1" x14ac:dyDescent="0.2">
      <c r="A62" s="164">
        <v>12</v>
      </c>
      <c r="B62" s="174" t="s">
        <v>200</v>
      </c>
      <c r="C62" s="197" t="s">
        <v>201</v>
      </c>
      <c r="D62" s="176" t="s">
        <v>143</v>
      </c>
      <c r="E62" s="180">
        <v>12.569000000000001</v>
      </c>
      <c r="F62" s="184">
        <v>0</v>
      </c>
      <c r="G62" s="185">
        <f>ROUND(E62*F62,2)</f>
        <v>0</v>
      </c>
      <c r="H62" s="185" t="s">
        <v>202</v>
      </c>
      <c r="I62" s="185" t="s">
        <v>133</v>
      </c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 t="s">
        <v>134</v>
      </c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</row>
    <row r="63" spans="1:47" outlineLevel="1" x14ac:dyDescent="0.2">
      <c r="A63" s="164"/>
      <c r="B63" s="174"/>
      <c r="C63" s="198" t="s">
        <v>203</v>
      </c>
      <c r="D63" s="177"/>
      <c r="E63" s="181">
        <v>12.069000000000001</v>
      </c>
      <c r="F63" s="185"/>
      <c r="G63" s="185"/>
      <c r="H63" s="185"/>
      <c r="I63" s="185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 t="s">
        <v>136</v>
      </c>
      <c r="U63" s="163">
        <v>0</v>
      </c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</row>
    <row r="64" spans="1:47" outlineLevel="1" x14ac:dyDescent="0.2">
      <c r="A64" s="164"/>
      <c r="B64" s="174"/>
      <c r="C64" s="198" t="s">
        <v>204</v>
      </c>
      <c r="D64" s="177"/>
      <c r="E64" s="181">
        <v>0.5</v>
      </c>
      <c r="F64" s="185"/>
      <c r="G64" s="185"/>
      <c r="H64" s="185"/>
      <c r="I64" s="185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 t="s">
        <v>136</v>
      </c>
      <c r="U64" s="163">
        <v>0</v>
      </c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</row>
    <row r="65" spans="1:47" ht="22.5" outlineLevel="1" x14ac:dyDescent="0.2">
      <c r="A65" s="164">
        <v>13</v>
      </c>
      <c r="B65" s="174" t="s">
        <v>205</v>
      </c>
      <c r="C65" s="197" t="s">
        <v>206</v>
      </c>
      <c r="D65" s="176" t="s">
        <v>131</v>
      </c>
      <c r="E65" s="180">
        <v>201.15</v>
      </c>
      <c r="F65" s="184">
        <v>0</v>
      </c>
      <c r="G65" s="185">
        <f>ROUND(E65*F65,2)</f>
        <v>0</v>
      </c>
      <c r="H65" s="185" t="s">
        <v>202</v>
      </c>
      <c r="I65" s="185" t="s">
        <v>133</v>
      </c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 t="s">
        <v>134</v>
      </c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</row>
    <row r="66" spans="1:47" outlineLevel="1" x14ac:dyDescent="0.2">
      <c r="A66" s="164"/>
      <c r="B66" s="174"/>
      <c r="C66" s="198" t="s">
        <v>207</v>
      </c>
      <c r="D66" s="177"/>
      <c r="E66" s="181">
        <v>61.3</v>
      </c>
      <c r="F66" s="185"/>
      <c r="G66" s="185"/>
      <c r="H66" s="185"/>
      <c r="I66" s="185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 t="s">
        <v>136</v>
      </c>
      <c r="U66" s="163">
        <v>0</v>
      </c>
      <c r="V66" s="163"/>
      <c r="W66" s="163"/>
      <c r="X66" s="163"/>
      <c r="Y66" s="163"/>
      <c r="Z66" s="16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</row>
    <row r="67" spans="1:47" outlineLevel="1" x14ac:dyDescent="0.2">
      <c r="A67" s="164"/>
      <c r="B67" s="174"/>
      <c r="C67" s="198" t="s">
        <v>188</v>
      </c>
      <c r="D67" s="177"/>
      <c r="E67" s="181">
        <v>20</v>
      </c>
      <c r="F67" s="185"/>
      <c r="G67" s="185"/>
      <c r="H67" s="185"/>
      <c r="I67" s="185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 t="s">
        <v>136</v>
      </c>
      <c r="U67" s="163">
        <v>0</v>
      </c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</row>
    <row r="68" spans="1:47" outlineLevel="1" x14ac:dyDescent="0.2">
      <c r="A68" s="164"/>
      <c r="B68" s="174"/>
      <c r="C68" s="198" t="s">
        <v>190</v>
      </c>
      <c r="D68" s="177"/>
      <c r="E68" s="181">
        <v>36.799999999999997</v>
      </c>
      <c r="F68" s="185"/>
      <c r="G68" s="185"/>
      <c r="H68" s="185"/>
      <c r="I68" s="185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 t="s">
        <v>136</v>
      </c>
      <c r="U68" s="163">
        <v>0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</row>
    <row r="69" spans="1:47" outlineLevel="1" x14ac:dyDescent="0.2">
      <c r="A69" s="164"/>
      <c r="B69" s="174"/>
      <c r="C69" s="198" t="s">
        <v>208</v>
      </c>
      <c r="D69" s="177"/>
      <c r="E69" s="181">
        <v>9.9</v>
      </c>
      <c r="F69" s="185"/>
      <c r="G69" s="185"/>
      <c r="H69" s="185"/>
      <c r="I69" s="185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 t="s">
        <v>136</v>
      </c>
      <c r="U69" s="163">
        <v>0</v>
      </c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</row>
    <row r="70" spans="1:47" outlineLevel="1" x14ac:dyDescent="0.2">
      <c r="A70" s="164"/>
      <c r="B70" s="174"/>
      <c r="C70" s="198" t="s">
        <v>209</v>
      </c>
      <c r="D70" s="177"/>
      <c r="E70" s="181">
        <v>8.6999999999999993</v>
      </c>
      <c r="F70" s="185"/>
      <c r="G70" s="185"/>
      <c r="H70" s="185"/>
      <c r="I70" s="185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 t="s">
        <v>136</v>
      </c>
      <c r="U70" s="163">
        <v>0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</row>
    <row r="71" spans="1:47" outlineLevel="1" x14ac:dyDescent="0.2">
      <c r="A71" s="164"/>
      <c r="B71" s="174"/>
      <c r="C71" s="198" t="s">
        <v>193</v>
      </c>
      <c r="D71" s="177"/>
      <c r="E71" s="181">
        <v>14.25</v>
      </c>
      <c r="F71" s="185"/>
      <c r="G71" s="185"/>
      <c r="H71" s="185"/>
      <c r="I71" s="185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 t="s">
        <v>136</v>
      </c>
      <c r="U71" s="163">
        <v>0</v>
      </c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</row>
    <row r="72" spans="1:47" outlineLevel="1" x14ac:dyDescent="0.2">
      <c r="A72" s="164"/>
      <c r="B72" s="174"/>
      <c r="C72" s="198" t="s">
        <v>210</v>
      </c>
      <c r="D72" s="177"/>
      <c r="E72" s="181">
        <v>50.2</v>
      </c>
      <c r="F72" s="185"/>
      <c r="G72" s="185"/>
      <c r="H72" s="185"/>
      <c r="I72" s="185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 t="s">
        <v>136</v>
      </c>
      <c r="U72" s="163">
        <v>0</v>
      </c>
      <c r="V72" s="163"/>
      <c r="W72" s="163"/>
      <c r="X72" s="163"/>
      <c r="Y72" s="163"/>
      <c r="Z72" s="163"/>
      <c r="AA72" s="163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</row>
    <row r="73" spans="1:47" outlineLevel="1" x14ac:dyDescent="0.2">
      <c r="A73" s="164">
        <v>14</v>
      </c>
      <c r="B73" s="174" t="s">
        <v>211</v>
      </c>
      <c r="C73" s="197" t="s">
        <v>212</v>
      </c>
      <c r="D73" s="176" t="s">
        <v>146</v>
      </c>
      <c r="E73" s="180">
        <v>4.2</v>
      </c>
      <c r="F73" s="184">
        <v>0</v>
      </c>
      <c r="G73" s="185">
        <f>ROUND(E73*F73,2)</f>
        <v>0</v>
      </c>
      <c r="H73" s="185" t="s">
        <v>202</v>
      </c>
      <c r="I73" s="185" t="s">
        <v>133</v>
      </c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 t="s">
        <v>134</v>
      </c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</row>
    <row r="74" spans="1:47" outlineLevel="1" x14ac:dyDescent="0.2">
      <c r="A74" s="164"/>
      <c r="B74" s="174"/>
      <c r="C74" s="198" t="s">
        <v>213</v>
      </c>
      <c r="D74" s="177"/>
      <c r="E74" s="181">
        <v>1.2</v>
      </c>
      <c r="F74" s="185"/>
      <c r="G74" s="185"/>
      <c r="H74" s="185"/>
      <c r="I74" s="185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 t="s">
        <v>136</v>
      </c>
      <c r="U74" s="163">
        <v>0</v>
      </c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</row>
    <row r="75" spans="1:47" ht="22.5" outlineLevel="1" x14ac:dyDescent="0.2">
      <c r="A75" s="164"/>
      <c r="B75" s="174"/>
      <c r="C75" s="198" t="s">
        <v>214</v>
      </c>
      <c r="D75" s="177"/>
      <c r="E75" s="181">
        <v>3</v>
      </c>
      <c r="F75" s="185"/>
      <c r="G75" s="185"/>
      <c r="H75" s="185"/>
      <c r="I75" s="185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 t="s">
        <v>136</v>
      </c>
      <c r="U75" s="163">
        <v>0</v>
      </c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</row>
    <row r="76" spans="1:47" outlineLevel="1" x14ac:dyDescent="0.2">
      <c r="A76" s="164">
        <v>15</v>
      </c>
      <c r="B76" s="174" t="s">
        <v>215</v>
      </c>
      <c r="C76" s="197" t="s">
        <v>216</v>
      </c>
      <c r="D76" s="176" t="s">
        <v>146</v>
      </c>
      <c r="E76" s="180">
        <v>10</v>
      </c>
      <c r="F76" s="184">
        <v>0</v>
      </c>
      <c r="G76" s="185">
        <f>ROUND(E76*F76,2)</f>
        <v>0</v>
      </c>
      <c r="H76" s="185" t="s">
        <v>202</v>
      </c>
      <c r="I76" s="185" t="s">
        <v>133</v>
      </c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 t="s">
        <v>134</v>
      </c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</row>
    <row r="77" spans="1:47" outlineLevel="1" x14ac:dyDescent="0.2">
      <c r="A77" s="164"/>
      <c r="B77" s="174"/>
      <c r="C77" s="198" t="s">
        <v>217</v>
      </c>
      <c r="D77" s="177"/>
      <c r="E77" s="181">
        <v>10</v>
      </c>
      <c r="F77" s="185"/>
      <c r="G77" s="185"/>
      <c r="H77" s="185"/>
      <c r="I77" s="185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 t="s">
        <v>136</v>
      </c>
      <c r="U77" s="163">
        <v>0</v>
      </c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</row>
    <row r="78" spans="1:47" outlineLevel="1" x14ac:dyDescent="0.2">
      <c r="A78" s="164">
        <v>16</v>
      </c>
      <c r="B78" s="174" t="s">
        <v>218</v>
      </c>
      <c r="C78" s="197" t="s">
        <v>219</v>
      </c>
      <c r="D78" s="176" t="s">
        <v>131</v>
      </c>
      <c r="E78" s="180">
        <v>21.06</v>
      </c>
      <c r="F78" s="184">
        <v>0</v>
      </c>
      <c r="G78" s="185">
        <f>ROUND(E78*F78,2)</f>
        <v>0</v>
      </c>
      <c r="H78" s="185" t="s">
        <v>202</v>
      </c>
      <c r="I78" s="185" t="s">
        <v>133</v>
      </c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 t="s">
        <v>134</v>
      </c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</row>
    <row r="79" spans="1:47" outlineLevel="1" x14ac:dyDescent="0.2">
      <c r="A79" s="164"/>
      <c r="B79" s="174"/>
      <c r="C79" s="205" t="s">
        <v>220</v>
      </c>
      <c r="D79" s="177"/>
      <c r="E79" s="181">
        <v>21.06</v>
      </c>
      <c r="F79" s="185"/>
      <c r="G79" s="185"/>
      <c r="H79" s="185"/>
      <c r="I79" s="185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 t="s">
        <v>136</v>
      </c>
      <c r="U79" s="163">
        <v>0</v>
      </c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</row>
    <row r="80" spans="1:47" x14ac:dyDescent="0.2">
      <c r="A80" s="170" t="s">
        <v>127</v>
      </c>
      <c r="B80" s="175" t="s">
        <v>78</v>
      </c>
      <c r="C80" s="199" t="s">
        <v>79</v>
      </c>
      <c r="D80" s="178"/>
      <c r="E80" s="182"/>
      <c r="F80" s="186"/>
      <c r="G80" s="186">
        <f>SUMIF(T81:T81,"&lt;&gt;NOR",G81:G81)</f>
        <v>0</v>
      </c>
      <c r="H80" s="186"/>
      <c r="I80" s="186"/>
      <c r="T80" t="s">
        <v>128</v>
      </c>
    </row>
    <row r="81" spans="1:47" outlineLevel="1" x14ac:dyDescent="0.2">
      <c r="A81" s="164">
        <v>17</v>
      </c>
      <c r="B81" s="174" t="s">
        <v>221</v>
      </c>
      <c r="C81" s="197" t="s">
        <v>222</v>
      </c>
      <c r="D81" s="176" t="s">
        <v>176</v>
      </c>
      <c r="E81" s="180">
        <v>29.393409999999999</v>
      </c>
      <c r="F81" s="184">
        <v>0</v>
      </c>
      <c r="G81" s="185">
        <f>ROUND(E81*F81,2)</f>
        <v>0</v>
      </c>
      <c r="H81" s="185" t="s">
        <v>198</v>
      </c>
      <c r="I81" s="185" t="s">
        <v>133</v>
      </c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 t="s">
        <v>223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</row>
    <row r="82" spans="1:47" x14ac:dyDescent="0.2">
      <c r="A82" s="170" t="s">
        <v>127</v>
      </c>
      <c r="B82" s="175" t="s">
        <v>80</v>
      </c>
      <c r="C82" s="199" t="s">
        <v>81</v>
      </c>
      <c r="D82" s="178"/>
      <c r="E82" s="182"/>
      <c r="F82" s="186"/>
      <c r="G82" s="186">
        <f>SUMIF(T83:T90,"&lt;&gt;NOR",G83:G90)</f>
        <v>0</v>
      </c>
      <c r="H82" s="186"/>
      <c r="I82" s="186"/>
      <c r="T82" t="s">
        <v>128</v>
      </c>
    </row>
    <row r="83" spans="1:47" ht="22.5" outlineLevel="1" x14ac:dyDescent="0.2">
      <c r="A83" s="164">
        <v>18</v>
      </c>
      <c r="B83" s="174" t="s">
        <v>224</v>
      </c>
      <c r="C83" s="197" t="s">
        <v>225</v>
      </c>
      <c r="D83" s="176" t="s">
        <v>131</v>
      </c>
      <c r="E83" s="180">
        <v>14.744999999999999</v>
      </c>
      <c r="F83" s="184">
        <v>0</v>
      </c>
      <c r="G83" s="185">
        <f>ROUND(E83*F83,2)</f>
        <v>0</v>
      </c>
      <c r="H83" s="185" t="s">
        <v>226</v>
      </c>
      <c r="I83" s="185" t="s">
        <v>133</v>
      </c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 t="s">
        <v>134</v>
      </c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</row>
    <row r="84" spans="1:47" ht="22.5" outlineLevel="1" x14ac:dyDescent="0.2">
      <c r="A84" s="164">
        <v>19</v>
      </c>
      <c r="B84" s="174" t="s">
        <v>227</v>
      </c>
      <c r="C84" s="197" t="s">
        <v>228</v>
      </c>
      <c r="D84" s="176" t="s">
        <v>131</v>
      </c>
      <c r="E84" s="180">
        <v>14.744999999999999</v>
      </c>
      <c r="F84" s="184">
        <v>0</v>
      </c>
      <c r="G84" s="185">
        <f>ROUND(E84*F84,2)</f>
        <v>0</v>
      </c>
      <c r="H84" s="185" t="s">
        <v>226</v>
      </c>
      <c r="I84" s="185" t="s">
        <v>133</v>
      </c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 t="s">
        <v>134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</row>
    <row r="85" spans="1:47" ht="22.5" outlineLevel="1" x14ac:dyDescent="0.2">
      <c r="A85" s="164"/>
      <c r="B85" s="174"/>
      <c r="C85" s="198" t="s">
        <v>139</v>
      </c>
      <c r="D85" s="177"/>
      <c r="E85" s="181">
        <v>13.92</v>
      </c>
      <c r="F85" s="185"/>
      <c r="G85" s="185"/>
      <c r="H85" s="185"/>
      <c r="I85" s="185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 t="s">
        <v>136</v>
      </c>
      <c r="U85" s="163">
        <v>0</v>
      </c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</row>
    <row r="86" spans="1:47" outlineLevel="1" x14ac:dyDescent="0.2">
      <c r="A86" s="164"/>
      <c r="B86" s="174"/>
      <c r="C86" s="198" t="s">
        <v>229</v>
      </c>
      <c r="D86" s="177"/>
      <c r="E86" s="181">
        <v>0.82499999999999996</v>
      </c>
      <c r="F86" s="185"/>
      <c r="G86" s="185"/>
      <c r="H86" s="185"/>
      <c r="I86" s="185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 t="s">
        <v>136</v>
      </c>
      <c r="U86" s="163">
        <v>0</v>
      </c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</row>
    <row r="87" spans="1:47" outlineLevel="1" x14ac:dyDescent="0.2">
      <c r="A87" s="164">
        <v>20</v>
      </c>
      <c r="B87" s="174" t="s">
        <v>230</v>
      </c>
      <c r="C87" s="197" t="s">
        <v>231</v>
      </c>
      <c r="D87" s="176" t="s">
        <v>146</v>
      </c>
      <c r="E87" s="180">
        <v>11.6</v>
      </c>
      <c r="F87" s="184">
        <v>0</v>
      </c>
      <c r="G87" s="185">
        <f>ROUND(E87*F87,2)</f>
        <v>0</v>
      </c>
      <c r="H87" s="185" t="s">
        <v>226</v>
      </c>
      <c r="I87" s="185" t="s">
        <v>133</v>
      </c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 t="s">
        <v>134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</row>
    <row r="88" spans="1:47" outlineLevel="1" x14ac:dyDescent="0.2">
      <c r="A88" s="164"/>
      <c r="B88" s="174"/>
      <c r="C88" s="205" t="s">
        <v>232</v>
      </c>
      <c r="D88" s="177"/>
      <c r="E88" s="181">
        <v>11.6</v>
      </c>
      <c r="F88" s="185"/>
      <c r="G88" s="185"/>
      <c r="H88" s="185"/>
      <c r="I88" s="185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 t="s">
        <v>136</v>
      </c>
      <c r="U88" s="163">
        <v>0</v>
      </c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</row>
    <row r="89" spans="1:47" outlineLevel="1" x14ac:dyDescent="0.2">
      <c r="A89" s="164">
        <v>21</v>
      </c>
      <c r="B89" s="174" t="s">
        <v>233</v>
      </c>
      <c r="C89" s="197" t="s">
        <v>234</v>
      </c>
      <c r="D89" s="176" t="s">
        <v>197</v>
      </c>
      <c r="E89" s="180">
        <v>8</v>
      </c>
      <c r="F89" s="184">
        <v>0</v>
      </c>
      <c r="G89" s="185">
        <f>ROUND(E89*F89,2)</f>
        <v>0</v>
      </c>
      <c r="H89" s="185" t="s">
        <v>226</v>
      </c>
      <c r="I89" s="185" t="s">
        <v>133</v>
      </c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 t="s">
        <v>134</v>
      </c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</row>
    <row r="90" spans="1:47" outlineLevel="1" x14ac:dyDescent="0.2">
      <c r="A90" s="164">
        <v>22</v>
      </c>
      <c r="B90" s="174" t="s">
        <v>235</v>
      </c>
      <c r="C90" s="197" t="s">
        <v>236</v>
      </c>
      <c r="D90" s="176" t="s">
        <v>0</v>
      </c>
      <c r="E90" s="180">
        <v>111.1435</v>
      </c>
      <c r="F90" s="184">
        <v>0</v>
      </c>
      <c r="G90" s="185">
        <f>ROUND(E90*F90,2)</f>
        <v>0</v>
      </c>
      <c r="H90" s="185" t="s">
        <v>226</v>
      </c>
      <c r="I90" s="185" t="s">
        <v>133</v>
      </c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 t="s">
        <v>223</v>
      </c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</row>
    <row r="91" spans="1:47" x14ac:dyDescent="0.2">
      <c r="A91" s="170" t="s">
        <v>127</v>
      </c>
      <c r="B91" s="175" t="s">
        <v>82</v>
      </c>
      <c r="C91" s="199" t="s">
        <v>83</v>
      </c>
      <c r="D91" s="178"/>
      <c r="E91" s="182"/>
      <c r="F91" s="186"/>
      <c r="G91" s="186">
        <f>SUMIF(T92:T108,"&lt;&gt;NOR",G92:G108)</f>
        <v>0</v>
      </c>
      <c r="H91" s="186"/>
      <c r="I91" s="186"/>
      <c r="T91" t="s">
        <v>128</v>
      </c>
    </row>
    <row r="92" spans="1:47" outlineLevel="1" x14ac:dyDescent="0.2">
      <c r="A92" s="164">
        <v>23</v>
      </c>
      <c r="B92" s="174" t="s">
        <v>237</v>
      </c>
      <c r="C92" s="197" t="s">
        <v>238</v>
      </c>
      <c r="D92" s="176" t="s">
        <v>146</v>
      </c>
      <c r="E92" s="180">
        <v>57</v>
      </c>
      <c r="F92" s="184">
        <v>0</v>
      </c>
      <c r="G92" s="185">
        <f>ROUND(E92*F92,2)</f>
        <v>0</v>
      </c>
      <c r="H92" s="185" t="s">
        <v>239</v>
      </c>
      <c r="I92" s="185" t="s">
        <v>133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 t="s">
        <v>134</v>
      </c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</row>
    <row r="93" spans="1:47" outlineLevel="1" x14ac:dyDescent="0.2">
      <c r="A93" s="164"/>
      <c r="B93" s="174"/>
      <c r="C93" s="198" t="s">
        <v>240</v>
      </c>
      <c r="D93" s="177"/>
      <c r="E93" s="181">
        <v>57</v>
      </c>
      <c r="F93" s="185"/>
      <c r="G93" s="185"/>
      <c r="H93" s="185"/>
      <c r="I93" s="185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 t="s">
        <v>136</v>
      </c>
      <c r="U93" s="163">
        <v>0</v>
      </c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</row>
    <row r="94" spans="1:47" outlineLevel="1" x14ac:dyDescent="0.2">
      <c r="A94" s="164">
        <v>24</v>
      </c>
      <c r="B94" s="174" t="s">
        <v>241</v>
      </c>
      <c r="C94" s="197" t="s">
        <v>242</v>
      </c>
      <c r="D94" s="176" t="s">
        <v>146</v>
      </c>
      <c r="E94" s="180">
        <v>2</v>
      </c>
      <c r="F94" s="184">
        <v>0</v>
      </c>
      <c r="G94" s="185">
        <f t="shared" ref="G94:G104" si="0">ROUND(E94*F94,2)</f>
        <v>0</v>
      </c>
      <c r="H94" s="185" t="s">
        <v>239</v>
      </c>
      <c r="I94" s="185" t="s">
        <v>133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 t="s">
        <v>134</v>
      </c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</row>
    <row r="95" spans="1:47" outlineLevel="1" x14ac:dyDescent="0.2">
      <c r="A95" s="164">
        <v>25</v>
      </c>
      <c r="B95" s="174" t="s">
        <v>243</v>
      </c>
      <c r="C95" s="197" t="s">
        <v>244</v>
      </c>
      <c r="D95" s="176" t="s">
        <v>146</v>
      </c>
      <c r="E95" s="180">
        <v>4</v>
      </c>
      <c r="F95" s="184">
        <v>0</v>
      </c>
      <c r="G95" s="185">
        <f t="shared" si="0"/>
        <v>0</v>
      </c>
      <c r="H95" s="185" t="s">
        <v>239</v>
      </c>
      <c r="I95" s="185" t="s">
        <v>133</v>
      </c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 t="s">
        <v>134</v>
      </c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</row>
    <row r="96" spans="1:47" outlineLevel="1" x14ac:dyDescent="0.2">
      <c r="A96" s="164">
        <v>26</v>
      </c>
      <c r="B96" s="174" t="s">
        <v>245</v>
      </c>
      <c r="C96" s="197" t="s">
        <v>246</v>
      </c>
      <c r="D96" s="176" t="s">
        <v>146</v>
      </c>
      <c r="E96" s="180">
        <v>61</v>
      </c>
      <c r="F96" s="184">
        <v>0</v>
      </c>
      <c r="G96" s="185">
        <f t="shared" si="0"/>
        <v>0</v>
      </c>
      <c r="H96" s="185" t="s">
        <v>239</v>
      </c>
      <c r="I96" s="185" t="s">
        <v>133</v>
      </c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 t="s">
        <v>134</v>
      </c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</row>
    <row r="97" spans="1:47" outlineLevel="1" x14ac:dyDescent="0.2">
      <c r="A97" s="164">
        <v>27</v>
      </c>
      <c r="B97" s="174" t="s">
        <v>247</v>
      </c>
      <c r="C97" s="197" t="s">
        <v>248</v>
      </c>
      <c r="D97" s="176" t="s">
        <v>197</v>
      </c>
      <c r="E97" s="180">
        <v>4</v>
      </c>
      <c r="F97" s="184">
        <v>0</v>
      </c>
      <c r="G97" s="185">
        <f t="shared" si="0"/>
        <v>0</v>
      </c>
      <c r="H97" s="185" t="s">
        <v>239</v>
      </c>
      <c r="I97" s="185" t="s">
        <v>133</v>
      </c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 t="s">
        <v>134</v>
      </c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</row>
    <row r="98" spans="1:47" outlineLevel="1" x14ac:dyDescent="0.2">
      <c r="A98" s="164">
        <v>28</v>
      </c>
      <c r="B98" s="174" t="s">
        <v>249</v>
      </c>
      <c r="C98" s="197" t="s">
        <v>250</v>
      </c>
      <c r="D98" s="176" t="s">
        <v>185</v>
      </c>
      <c r="E98" s="180">
        <v>1</v>
      </c>
      <c r="F98" s="184">
        <v>0</v>
      </c>
      <c r="G98" s="185">
        <f t="shared" si="0"/>
        <v>0</v>
      </c>
      <c r="H98" s="185"/>
      <c r="I98" s="185" t="s">
        <v>180</v>
      </c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 t="s">
        <v>134</v>
      </c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</row>
    <row r="99" spans="1:47" outlineLevel="1" x14ac:dyDescent="0.2">
      <c r="A99" s="164">
        <v>29</v>
      </c>
      <c r="B99" s="174" t="s">
        <v>251</v>
      </c>
      <c r="C99" s="197" t="s">
        <v>252</v>
      </c>
      <c r="D99" s="176" t="s">
        <v>185</v>
      </c>
      <c r="E99" s="180">
        <v>1</v>
      </c>
      <c r="F99" s="184">
        <v>0</v>
      </c>
      <c r="G99" s="185">
        <f t="shared" si="0"/>
        <v>0</v>
      </c>
      <c r="H99" s="185"/>
      <c r="I99" s="185" t="s">
        <v>180</v>
      </c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 t="s">
        <v>134</v>
      </c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</row>
    <row r="100" spans="1:47" outlineLevel="1" x14ac:dyDescent="0.2">
      <c r="A100" s="164">
        <v>30</v>
      </c>
      <c r="B100" s="174" t="s">
        <v>253</v>
      </c>
      <c r="C100" s="197" t="s">
        <v>254</v>
      </c>
      <c r="D100" s="176" t="s">
        <v>197</v>
      </c>
      <c r="E100" s="180">
        <v>2</v>
      </c>
      <c r="F100" s="184">
        <v>0</v>
      </c>
      <c r="G100" s="185">
        <f t="shared" si="0"/>
        <v>0</v>
      </c>
      <c r="H100" s="185" t="s">
        <v>255</v>
      </c>
      <c r="I100" s="185" t="s">
        <v>133</v>
      </c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 t="s">
        <v>256</v>
      </c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</row>
    <row r="101" spans="1:47" outlineLevel="1" x14ac:dyDescent="0.2">
      <c r="A101" s="164">
        <v>31</v>
      </c>
      <c r="B101" s="174" t="s">
        <v>257</v>
      </c>
      <c r="C101" s="197" t="s">
        <v>258</v>
      </c>
      <c r="D101" s="176" t="s">
        <v>197</v>
      </c>
      <c r="E101" s="180">
        <v>3</v>
      </c>
      <c r="F101" s="184">
        <v>0</v>
      </c>
      <c r="G101" s="185">
        <f t="shared" si="0"/>
        <v>0</v>
      </c>
      <c r="H101" s="185" t="s">
        <v>255</v>
      </c>
      <c r="I101" s="185" t="s">
        <v>133</v>
      </c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 t="s">
        <v>256</v>
      </c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</row>
    <row r="102" spans="1:47" outlineLevel="1" x14ac:dyDescent="0.2">
      <c r="A102" s="164">
        <v>32</v>
      </c>
      <c r="B102" s="174" t="s">
        <v>259</v>
      </c>
      <c r="C102" s="197" t="s">
        <v>260</v>
      </c>
      <c r="D102" s="176" t="s">
        <v>197</v>
      </c>
      <c r="E102" s="180">
        <v>53</v>
      </c>
      <c r="F102" s="184">
        <v>0</v>
      </c>
      <c r="G102" s="185">
        <f t="shared" si="0"/>
        <v>0</v>
      </c>
      <c r="H102" s="185" t="s">
        <v>255</v>
      </c>
      <c r="I102" s="185" t="s">
        <v>133</v>
      </c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 t="s">
        <v>256</v>
      </c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</row>
    <row r="103" spans="1:47" outlineLevel="1" x14ac:dyDescent="0.2">
      <c r="A103" s="164">
        <v>33</v>
      </c>
      <c r="B103" s="174" t="s">
        <v>261</v>
      </c>
      <c r="C103" s="197" t="s">
        <v>262</v>
      </c>
      <c r="D103" s="176" t="s">
        <v>197</v>
      </c>
      <c r="E103" s="180">
        <v>21</v>
      </c>
      <c r="F103" s="184">
        <v>0</v>
      </c>
      <c r="G103" s="185">
        <f t="shared" si="0"/>
        <v>0</v>
      </c>
      <c r="H103" s="185" t="s">
        <v>255</v>
      </c>
      <c r="I103" s="185" t="s">
        <v>133</v>
      </c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 t="s">
        <v>256</v>
      </c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</row>
    <row r="104" spans="1:47" outlineLevel="1" x14ac:dyDescent="0.2">
      <c r="A104" s="164">
        <v>34</v>
      </c>
      <c r="B104" s="174" t="s">
        <v>263</v>
      </c>
      <c r="C104" s="197" t="s">
        <v>264</v>
      </c>
      <c r="D104" s="176" t="s">
        <v>197</v>
      </c>
      <c r="E104" s="180">
        <v>122</v>
      </c>
      <c r="F104" s="184">
        <v>0</v>
      </c>
      <c r="G104" s="185">
        <f t="shared" si="0"/>
        <v>0</v>
      </c>
      <c r="H104" s="185" t="s">
        <v>255</v>
      </c>
      <c r="I104" s="185" t="s">
        <v>133</v>
      </c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 t="s">
        <v>256</v>
      </c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</row>
    <row r="105" spans="1:47" outlineLevel="1" x14ac:dyDescent="0.2">
      <c r="A105" s="164"/>
      <c r="B105" s="174"/>
      <c r="C105" s="198" t="s">
        <v>265</v>
      </c>
      <c r="D105" s="177"/>
      <c r="E105" s="181">
        <v>122</v>
      </c>
      <c r="F105" s="185"/>
      <c r="G105" s="185"/>
      <c r="H105" s="185"/>
      <c r="I105" s="185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 t="s">
        <v>136</v>
      </c>
      <c r="U105" s="163">
        <v>0</v>
      </c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</row>
    <row r="106" spans="1:47" outlineLevel="1" x14ac:dyDescent="0.2">
      <c r="A106" s="164">
        <v>35</v>
      </c>
      <c r="B106" s="174" t="s">
        <v>266</v>
      </c>
      <c r="C106" s="197" t="s">
        <v>267</v>
      </c>
      <c r="D106" s="176" t="s">
        <v>146</v>
      </c>
      <c r="E106" s="180">
        <v>36.6</v>
      </c>
      <c r="F106" s="184">
        <v>0</v>
      </c>
      <c r="G106" s="185">
        <f>ROUND(E106*F106,2)</f>
        <v>0</v>
      </c>
      <c r="H106" s="185" t="s">
        <v>255</v>
      </c>
      <c r="I106" s="185" t="s">
        <v>133</v>
      </c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 t="s">
        <v>256</v>
      </c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</row>
    <row r="107" spans="1:47" outlineLevel="1" x14ac:dyDescent="0.2">
      <c r="A107" s="164"/>
      <c r="B107" s="174"/>
      <c r="C107" s="198" t="s">
        <v>268</v>
      </c>
      <c r="D107" s="177"/>
      <c r="E107" s="181">
        <v>36.6</v>
      </c>
      <c r="F107" s="185"/>
      <c r="G107" s="185"/>
      <c r="H107" s="185"/>
      <c r="I107" s="185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 t="s">
        <v>136</v>
      </c>
      <c r="U107" s="163">
        <v>0</v>
      </c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</row>
    <row r="108" spans="1:47" outlineLevel="1" x14ac:dyDescent="0.2">
      <c r="A108" s="164">
        <v>36</v>
      </c>
      <c r="B108" s="174" t="s">
        <v>269</v>
      </c>
      <c r="C108" s="197" t="s">
        <v>270</v>
      </c>
      <c r="D108" s="176" t="s">
        <v>0</v>
      </c>
      <c r="E108" s="180">
        <v>842.90880000000004</v>
      </c>
      <c r="F108" s="184">
        <v>0</v>
      </c>
      <c r="G108" s="185">
        <f>ROUND(E108*F108,2)</f>
        <v>0</v>
      </c>
      <c r="H108" s="185" t="s">
        <v>239</v>
      </c>
      <c r="I108" s="185" t="s">
        <v>133</v>
      </c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 t="s">
        <v>223</v>
      </c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</row>
    <row r="109" spans="1:47" x14ac:dyDescent="0.2">
      <c r="A109" s="170" t="s">
        <v>127</v>
      </c>
      <c r="B109" s="175" t="s">
        <v>84</v>
      </c>
      <c r="C109" s="199" t="s">
        <v>85</v>
      </c>
      <c r="D109" s="178"/>
      <c r="E109" s="182"/>
      <c r="F109" s="186"/>
      <c r="G109" s="186">
        <f>SUMIF(T110:T122,"&lt;&gt;NOR",G110:G122)</f>
        <v>0</v>
      </c>
      <c r="H109" s="186"/>
      <c r="I109" s="186"/>
      <c r="T109" t="s">
        <v>128</v>
      </c>
    </row>
    <row r="110" spans="1:47" outlineLevel="1" x14ac:dyDescent="0.2">
      <c r="A110" s="164">
        <v>37</v>
      </c>
      <c r="B110" s="174" t="s">
        <v>271</v>
      </c>
      <c r="C110" s="197" t="s">
        <v>272</v>
      </c>
      <c r="D110" s="176" t="s">
        <v>146</v>
      </c>
      <c r="E110" s="180">
        <v>110</v>
      </c>
      <c r="F110" s="184">
        <v>0</v>
      </c>
      <c r="G110" s="185">
        <f t="shared" ref="G110:G122" si="1">ROUND(E110*F110,2)</f>
        <v>0</v>
      </c>
      <c r="H110" s="185" t="s">
        <v>239</v>
      </c>
      <c r="I110" s="185" t="s">
        <v>133</v>
      </c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 t="s">
        <v>134</v>
      </c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</row>
    <row r="111" spans="1:47" outlineLevel="1" x14ac:dyDescent="0.2">
      <c r="A111" s="164">
        <v>38</v>
      </c>
      <c r="B111" s="174" t="s">
        <v>273</v>
      </c>
      <c r="C111" s="197" t="s">
        <v>274</v>
      </c>
      <c r="D111" s="176" t="s">
        <v>146</v>
      </c>
      <c r="E111" s="180">
        <v>84</v>
      </c>
      <c r="F111" s="184">
        <v>0</v>
      </c>
      <c r="G111" s="185">
        <f t="shared" si="1"/>
        <v>0</v>
      </c>
      <c r="H111" s="185" t="s">
        <v>239</v>
      </c>
      <c r="I111" s="185" t="s">
        <v>133</v>
      </c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 t="s">
        <v>134</v>
      </c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</row>
    <row r="112" spans="1:47" outlineLevel="1" x14ac:dyDescent="0.2">
      <c r="A112" s="164">
        <v>39</v>
      </c>
      <c r="B112" s="174" t="s">
        <v>275</v>
      </c>
      <c r="C112" s="197" t="s">
        <v>276</v>
      </c>
      <c r="D112" s="176" t="s">
        <v>146</v>
      </c>
      <c r="E112" s="180">
        <v>52</v>
      </c>
      <c r="F112" s="184">
        <v>0</v>
      </c>
      <c r="G112" s="185">
        <f t="shared" si="1"/>
        <v>0</v>
      </c>
      <c r="H112" s="185" t="s">
        <v>239</v>
      </c>
      <c r="I112" s="185" t="s">
        <v>133</v>
      </c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 t="s">
        <v>134</v>
      </c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</row>
    <row r="113" spans="1:47" outlineLevel="1" x14ac:dyDescent="0.2">
      <c r="A113" s="164">
        <v>40</v>
      </c>
      <c r="B113" s="174" t="s">
        <v>277</v>
      </c>
      <c r="C113" s="197" t="s">
        <v>278</v>
      </c>
      <c r="D113" s="176" t="s">
        <v>146</v>
      </c>
      <c r="E113" s="180">
        <v>14</v>
      </c>
      <c r="F113" s="184">
        <v>0</v>
      </c>
      <c r="G113" s="185">
        <f t="shared" si="1"/>
        <v>0</v>
      </c>
      <c r="H113" s="185" t="s">
        <v>239</v>
      </c>
      <c r="I113" s="185" t="s">
        <v>133</v>
      </c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 t="s">
        <v>134</v>
      </c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</row>
    <row r="114" spans="1:47" ht="22.5" outlineLevel="1" x14ac:dyDescent="0.2">
      <c r="A114" s="164">
        <v>41</v>
      </c>
      <c r="B114" s="174" t="s">
        <v>279</v>
      </c>
      <c r="C114" s="197" t="s">
        <v>497</v>
      </c>
      <c r="D114" s="176" t="s">
        <v>146</v>
      </c>
      <c r="E114" s="180">
        <v>4</v>
      </c>
      <c r="F114" s="184">
        <v>0</v>
      </c>
      <c r="G114" s="185">
        <f t="shared" si="1"/>
        <v>0</v>
      </c>
      <c r="H114" s="185" t="s">
        <v>239</v>
      </c>
      <c r="I114" s="185" t="s">
        <v>133</v>
      </c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 t="s">
        <v>134</v>
      </c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</row>
    <row r="115" spans="1:47" ht="22.5" outlineLevel="1" x14ac:dyDescent="0.2">
      <c r="A115" s="164">
        <v>42</v>
      </c>
      <c r="B115" s="174" t="s">
        <v>280</v>
      </c>
      <c r="C115" s="197" t="s">
        <v>498</v>
      </c>
      <c r="D115" s="176" t="s">
        <v>146</v>
      </c>
      <c r="E115" s="180">
        <v>26</v>
      </c>
      <c r="F115" s="184">
        <v>0</v>
      </c>
      <c r="G115" s="185">
        <f t="shared" si="1"/>
        <v>0</v>
      </c>
      <c r="H115" s="185" t="s">
        <v>239</v>
      </c>
      <c r="I115" s="185" t="s">
        <v>133</v>
      </c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 t="s">
        <v>134</v>
      </c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</row>
    <row r="116" spans="1:47" ht="22.5" outlineLevel="1" x14ac:dyDescent="0.2">
      <c r="A116" s="164">
        <v>43</v>
      </c>
      <c r="B116" s="174" t="s">
        <v>281</v>
      </c>
      <c r="C116" s="197" t="s">
        <v>499</v>
      </c>
      <c r="D116" s="176" t="s">
        <v>146</v>
      </c>
      <c r="E116" s="180">
        <v>7</v>
      </c>
      <c r="F116" s="184">
        <v>0</v>
      </c>
      <c r="G116" s="185">
        <f t="shared" si="1"/>
        <v>0</v>
      </c>
      <c r="H116" s="185" t="s">
        <v>239</v>
      </c>
      <c r="I116" s="185" t="s">
        <v>133</v>
      </c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 t="s">
        <v>134</v>
      </c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</row>
    <row r="117" spans="1:47" ht="22.5" outlineLevel="1" x14ac:dyDescent="0.2">
      <c r="A117" s="164">
        <v>44</v>
      </c>
      <c r="B117" s="174" t="s">
        <v>282</v>
      </c>
      <c r="C117" s="197" t="s">
        <v>500</v>
      </c>
      <c r="D117" s="176" t="s">
        <v>146</v>
      </c>
      <c r="E117" s="180">
        <v>40</v>
      </c>
      <c r="F117" s="184">
        <v>0</v>
      </c>
      <c r="G117" s="185">
        <f t="shared" si="1"/>
        <v>0</v>
      </c>
      <c r="H117" s="185" t="s">
        <v>239</v>
      </c>
      <c r="I117" s="185" t="s">
        <v>133</v>
      </c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 t="s">
        <v>134</v>
      </c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</row>
    <row r="118" spans="1:47" ht="22.5" outlineLevel="1" x14ac:dyDescent="0.2">
      <c r="A118" s="164">
        <v>45</v>
      </c>
      <c r="B118" s="174" t="s">
        <v>283</v>
      </c>
      <c r="C118" s="197" t="s">
        <v>501</v>
      </c>
      <c r="D118" s="176" t="s">
        <v>146</v>
      </c>
      <c r="E118" s="180">
        <v>26</v>
      </c>
      <c r="F118" s="184">
        <v>0</v>
      </c>
      <c r="G118" s="185">
        <f t="shared" si="1"/>
        <v>0</v>
      </c>
      <c r="H118" s="185" t="s">
        <v>239</v>
      </c>
      <c r="I118" s="185" t="s">
        <v>133</v>
      </c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 t="s">
        <v>134</v>
      </c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</row>
    <row r="119" spans="1:47" ht="22.5" outlineLevel="1" x14ac:dyDescent="0.2">
      <c r="A119" s="164">
        <v>46</v>
      </c>
      <c r="B119" s="174" t="s">
        <v>284</v>
      </c>
      <c r="C119" s="197" t="s">
        <v>502</v>
      </c>
      <c r="D119" s="176" t="s">
        <v>146</v>
      </c>
      <c r="E119" s="180">
        <v>7</v>
      </c>
      <c r="F119" s="184">
        <v>0</v>
      </c>
      <c r="G119" s="185">
        <f t="shared" si="1"/>
        <v>0</v>
      </c>
      <c r="H119" s="185" t="s">
        <v>239</v>
      </c>
      <c r="I119" s="185" t="s">
        <v>133</v>
      </c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 t="s">
        <v>134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</row>
    <row r="120" spans="1:47" ht="22.5" outlineLevel="1" x14ac:dyDescent="0.2">
      <c r="A120" s="164">
        <v>47</v>
      </c>
      <c r="B120" s="174" t="s">
        <v>285</v>
      </c>
      <c r="C120" s="197" t="s">
        <v>503</v>
      </c>
      <c r="D120" s="176" t="s">
        <v>146</v>
      </c>
      <c r="E120" s="180">
        <v>40</v>
      </c>
      <c r="F120" s="184">
        <v>0</v>
      </c>
      <c r="G120" s="185">
        <f t="shared" si="1"/>
        <v>0</v>
      </c>
      <c r="H120" s="185" t="s">
        <v>239</v>
      </c>
      <c r="I120" s="185" t="s">
        <v>133</v>
      </c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 t="s">
        <v>134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</row>
    <row r="121" spans="1:47" outlineLevel="1" x14ac:dyDescent="0.2">
      <c r="A121" s="164">
        <v>48</v>
      </c>
      <c r="B121" s="174" t="s">
        <v>286</v>
      </c>
      <c r="C121" s="197" t="s">
        <v>287</v>
      </c>
      <c r="D121" s="176" t="s">
        <v>146</v>
      </c>
      <c r="E121" s="180">
        <v>150</v>
      </c>
      <c r="F121" s="184">
        <v>0</v>
      </c>
      <c r="G121" s="185">
        <f t="shared" si="1"/>
        <v>0</v>
      </c>
      <c r="H121" s="185" t="s">
        <v>239</v>
      </c>
      <c r="I121" s="185" t="s">
        <v>133</v>
      </c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 t="s">
        <v>134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</row>
    <row r="122" spans="1:47" outlineLevel="1" x14ac:dyDescent="0.2">
      <c r="A122" s="164">
        <v>49</v>
      </c>
      <c r="B122" s="174" t="s">
        <v>288</v>
      </c>
      <c r="C122" s="197" t="s">
        <v>289</v>
      </c>
      <c r="D122" s="176" t="s">
        <v>185</v>
      </c>
      <c r="E122" s="180">
        <v>1</v>
      </c>
      <c r="F122" s="184">
        <v>0</v>
      </c>
      <c r="G122" s="185">
        <f t="shared" si="1"/>
        <v>0</v>
      </c>
      <c r="H122" s="185"/>
      <c r="I122" s="185" t="s">
        <v>180</v>
      </c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 t="s">
        <v>134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</row>
    <row r="123" spans="1:47" x14ac:dyDescent="0.2">
      <c r="A123" s="170" t="s">
        <v>127</v>
      </c>
      <c r="B123" s="175" t="s">
        <v>86</v>
      </c>
      <c r="C123" s="199" t="s">
        <v>87</v>
      </c>
      <c r="D123" s="178"/>
      <c r="E123" s="182"/>
      <c r="F123" s="186"/>
      <c r="G123" s="186">
        <f>SUMIF(T124:T131,"&lt;&gt;NOR",G124:G131)</f>
        <v>0</v>
      </c>
      <c r="H123" s="186"/>
      <c r="I123" s="186"/>
      <c r="T123" t="s">
        <v>128</v>
      </c>
    </row>
    <row r="124" spans="1:47" outlineLevel="1" x14ac:dyDescent="0.2">
      <c r="A124" s="164">
        <v>50</v>
      </c>
      <c r="B124" s="174" t="s">
        <v>290</v>
      </c>
      <c r="C124" s="197" t="s">
        <v>291</v>
      </c>
      <c r="D124" s="176" t="s">
        <v>292</v>
      </c>
      <c r="E124" s="180">
        <v>1</v>
      </c>
      <c r="F124" s="184">
        <v>0</v>
      </c>
      <c r="G124" s="185">
        <f t="shared" ref="G124:G131" si="2">ROUND(E124*F124,2)</f>
        <v>0</v>
      </c>
      <c r="H124" s="185" t="s">
        <v>239</v>
      </c>
      <c r="I124" s="185" t="s">
        <v>133</v>
      </c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 t="s">
        <v>134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</row>
    <row r="125" spans="1:47" outlineLevel="1" x14ac:dyDescent="0.2">
      <c r="A125" s="164">
        <v>51</v>
      </c>
      <c r="B125" s="174" t="s">
        <v>293</v>
      </c>
      <c r="C125" s="197" t="s">
        <v>294</v>
      </c>
      <c r="D125" s="176" t="s">
        <v>292</v>
      </c>
      <c r="E125" s="180">
        <v>2</v>
      </c>
      <c r="F125" s="184">
        <v>0</v>
      </c>
      <c r="G125" s="185">
        <f t="shared" si="2"/>
        <v>0</v>
      </c>
      <c r="H125" s="185" t="s">
        <v>239</v>
      </c>
      <c r="I125" s="185" t="s">
        <v>133</v>
      </c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 t="s">
        <v>134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</row>
    <row r="126" spans="1:47" outlineLevel="1" x14ac:dyDescent="0.2">
      <c r="A126" s="164">
        <v>52</v>
      </c>
      <c r="B126" s="174" t="s">
        <v>295</v>
      </c>
      <c r="C126" s="197" t="s">
        <v>296</v>
      </c>
      <c r="D126" s="176" t="s">
        <v>292</v>
      </c>
      <c r="E126" s="180">
        <v>1</v>
      </c>
      <c r="F126" s="184">
        <v>0</v>
      </c>
      <c r="G126" s="185">
        <f t="shared" si="2"/>
        <v>0</v>
      </c>
      <c r="H126" s="185" t="s">
        <v>239</v>
      </c>
      <c r="I126" s="185" t="s">
        <v>133</v>
      </c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 t="s">
        <v>134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</row>
    <row r="127" spans="1:47" outlineLevel="1" x14ac:dyDescent="0.2">
      <c r="A127" s="164">
        <v>53</v>
      </c>
      <c r="B127" s="174" t="s">
        <v>297</v>
      </c>
      <c r="C127" s="197" t="s">
        <v>298</v>
      </c>
      <c r="D127" s="176" t="s">
        <v>197</v>
      </c>
      <c r="E127" s="180">
        <v>1</v>
      </c>
      <c r="F127" s="184">
        <v>0</v>
      </c>
      <c r="G127" s="185">
        <f t="shared" si="2"/>
        <v>0</v>
      </c>
      <c r="H127" s="185" t="s">
        <v>239</v>
      </c>
      <c r="I127" s="185" t="s">
        <v>133</v>
      </c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 t="s">
        <v>134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</row>
    <row r="128" spans="1:47" outlineLevel="1" x14ac:dyDescent="0.2">
      <c r="A128" s="164">
        <v>54</v>
      </c>
      <c r="B128" s="174" t="s">
        <v>299</v>
      </c>
      <c r="C128" s="197" t="s">
        <v>300</v>
      </c>
      <c r="D128" s="176" t="s">
        <v>197</v>
      </c>
      <c r="E128" s="180">
        <v>2</v>
      </c>
      <c r="F128" s="184">
        <v>0</v>
      </c>
      <c r="G128" s="185">
        <f t="shared" si="2"/>
        <v>0</v>
      </c>
      <c r="H128" s="185" t="s">
        <v>239</v>
      </c>
      <c r="I128" s="185" t="s">
        <v>133</v>
      </c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 t="s">
        <v>134</v>
      </c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</row>
    <row r="129" spans="1:47" outlineLevel="1" x14ac:dyDescent="0.2">
      <c r="A129" s="164">
        <v>55</v>
      </c>
      <c r="B129" s="174" t="s">
        <v>301</v>
      </c>
      <c r="C129" s="197" t="s">
        <v>302</v>
      </c>
      <c r="D129" s="176" t="s">
        <v>197</v>
      </c>
      <c r="E129" s="180">
        <v>1</v>
      </c>
      <c r="F129" s="184">
        <v>0</v>
      </c>
      <c r="G129" s="185">
        <f t="shared" si="2"/>
        <v>0</v>
      </c>
      <c r="H129" s="185" t="s">
        <v>239</v>
      </c>
      <c r="I129" s="185" t="s">
        <v>133</v>
      </c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 t="s">
        <v>134</v>
      </c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</row>
    <row r="130" spans="1:47" outlineLevel="1" x14ac:dyDescent="0.2">
      <c r="A130" s="164">
        <v>56</v>
      </c>
      <c r="B130" s="174" t="s">
        <v>303</v>
      </c>
      <c r="C130" s="197" t="s">
        <v>304</v>
      </c>
      <c r="D130" s="176" t="s">
        <v>197</v>
      </c>
      <c r="E130" s="180">
        <v>2</v>
      </c>
      <c r="F130" s="184">
        <v>0</v>
      </c>
      <c r="G130" s="185">
        <f t="shared" si="2"/>
        <v>0</v>
      </c>
      <c r="H130" s="185" t="s">
        <v>255</v>
      </c>
      <c r="I130" s="185" t="s">
        <v>133</v>
      </c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 t="s">
        <v>256</v>
      </c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</row>
    <row r="131" spans="1:47" outlineLevel="1" x14ac:dyDescent="0.2">
      <c r="A131" s="164">
        <v>57</v>
      </c>
      <c r="B131" s="174" t="s">
        <v>305</v>
      </c>
      <c r="C131" s="197" t="s">
        <v>306</v>
      </c>
      <c r="D131" s="176" t="s">
        <v>0</v>
      </c>
      <c r="E131" s="180">
        <v>232.1103</v>
      </c>
      <c r="F131" s="184">
        <v>0</v>
      </c>
      <c r="G131" s="185">
        <f t="shared" si="2"/>
        <v>0</v>
      </c>
      <c r="H131" s="185" t="s">
        <v>239</v>
      </c>
      <c r="I131" s="185" t="s">
        <v>133</v>
      </c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 t="s">
        <v>223</v>
      </c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</row>
    <row r="132" spans="1:47" x14ac:dyDescent="0.2">
      <c r="A132" s="170" t="s">
        <v>127</v>
      </c>
      <c r="B132" s="175" t="s">
        <v>88</v>
      </c>
      <c r="C132" s="199" t="s">
        <v>89</v>
      </c>
      <c r="D132" s="178"/>
      <c r="E132" s="182"/>
      <c r="F132" s="186"/>
      <c r="G132" s="186">
        <f>SUMIF(T133:T133,"&lt;&gt;NOR",G133:G133)</f>
        <v>0</v>
      </c>
      <c r="H132" s="186"/>
      <c r="I132" s="186"/>
      <c r="T132" t="s">
        <v>128</v>
      </c>
    </row>
    <row r="133" spans="1:47" outlineLevel="1" x14ac:dyDescent="0.2">
      <c r="A133" s="164">
        <v>58</v>
      </c>
      <c r="B133" s="174" t="s">
        <v>307</v>
      </c>
      <c r="C133" s="197" t="s">
        <v>682</v>
      </c>
      <c r="D133" s="176" t="s">
        <v>292</v>
      </c>
      <c r="E133" s="180">
        <v>1</v>
      </c>
      <c r="F133" s="184">
        <v>0</v>
      </c>
      <c r="G133" s="185">
        <f>ROUND(E133*F133,2)</f>
        <v>0</v>
      </c>
      <c r="H133" s="185"/>
      <c r="I133" s="185" t="s">
        <v>180</v>
      </c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 t="s">
        <v>134</v>
      </c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</row>
    <row r="134" spans="1:47" x14ac:dyDescent="0.2">
      <c r="A134" s="170" t="s">
        <v>127</v>
      </c>
      <c r="B134" s="175" t="s">
        <v>90</v>
      </c>
      <c r="C134" s="199" t="s">
        <v>91</v>
      </c>
      <c r="D134" s="178"/>
      <c r="E134" s="182"/>
      <c r="F134" s="186"/>
      <c r="G134" s="186">
        <f>SUMIF(T135:T136,"&lt;&gt;NOR",G135:G136)</f>
        <v>0</v>
      </c>
      <c r="H134" s="186"/>
      <c r="I134" s="186"/>
      <c r="T134" t="s">
        <v>128</v>
      </c>
    </row>
    <row r="135" spans="1:47" outlineLevel="1" x14ac:dyDescent="0.2">
      <c r="A135" s="164">
        <v>59</v>
      </c>
      <c r="B135" s="174" t="s">
        <v>308</v>
      </c>
      <c r="C135" s="197" t="s">
        <v>309</v>
      </c>
      <c r="D135" s="176" t="s">
        <v>185</v>
      </c>
      <c r="E135" s="180">
        <v>1</v>
      </c>
      <c r="F135" s="184">
        <v>0</v>
      </c>
      <c r="G135" s="185">
        <f>ROUND(E135*F135,2)</f>
        <v>0</v>
      </c>
      <c r="H135" s="185"/>
      <c r="I135" s="185" t="s">
        <v>180</v>
      </c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 t="s">
        <v>134</v>
      </c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</row>
    <row r="136" spans="1:47" outlineLevel="1" x14ac:dyDescent="0.2">
      <c r="A136" s="164">
        <v>60</v>
      </c>
      <c r="B136" s="174" t="s">
        <v>310</v>
      </c>
      <c r="C136" s="197" t="s">
        <v>311</v>
      </c>
      <c r="D136" s="176" t="s">
        <v>185</v>
      </c>
      <c r="E136" s="180">
        <v>1</v>
      </c>
      <c r="F136" s="184">
        <v>0</v>
      </c>
      <c r="G136" s="185">
        <f>ROUND(E136*F136,2)</f>
        <v>0</v>
      </c>
      <c r="H136" s="185"/>
      <c r="I136" s="185" t="s">
        <v>180</v>
      </c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 t="s">
        <v>134</v>
      </c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</row>
    <row r="137" spans="1:47" x14ac:dyDescent="0.2">
      <c r="A137" s="170" t="s">
        <v>127</v>
      </c>
      <c r="B137" s="175" t="s">
        <v>92</v>
      </c>
      <c r="C137" s="199" t="s">
        <v>93</v>
      </c>
      <c r="D137" s="178"/>
      <c r="E137" s="182"/>
      <c r="F137" s="186"/>
      <c r="G137" s="186">
        <f>SUMIF(T138:T142,"&lt;&gt;NOR",G138:G142)</f>
        <v>0</v>
      </c>
      <c r="H137" s="186"/>
      <c r="I137" s="186"/>
      <c r="T137" t="s">
        <v>128</v>
      </c>
    </row>
    <row r="138" spans="1:47" outlineLevel="1" x14ac:dyDescent="0.2">
      <c r="A138" s="164">
        <v>61</v>
      </c>
      <c r="B138" s="174" t="s">
        <v>312</v>
      </c>
      <c r="C138" s="197" t="s">
        <v>313</v>
      </c>
      <c r="D138" s="176" t="s">
        <v>197</v>
      </c>
      <c r="E138" s="180">
        <v>2</v>
      </c>
      <c r="F138" s="184">
        <v>0</v>
      </c>
      <c r="G138" s="185">
        <f>ROUND(E138*F138,2)</f>
        <v>0</v>
      </c>
      <c r="H138" s="185" t="s">
        <v>314</v>
      </c>
      <c r="I138" s="185" t="s">
        <v>133</v>
      </c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 t="s">
        <v>134</v>
      </c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</row>
    <row r="139" spans="1:47" outlineLevel="1" x14ac:dyDescent="0.2">
      <c r="A139" s="164"/>
      <c r="B139" s="174"/>
      <c r="C139" s="198" t="s">
        <v>315</v>
      </c>
      <c r="D139" s="177"/>
      <c r="E139" s="181">
        <v>1</v>
      </c>
      <c r="F139" s="185"/>
      <c r="G139" s="185"/>
      <c r="H139" s="185"/>
      <c r="I139" s="185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 t="s">
        <v>136</v>
      </c>
      <c r="U139" s="163">
        <v>0</v>
      </c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</row>
    <row r="140" spans="1:47" outlineLevel="1" x14ac:dyDescent="0.2">
      <c r="A140" s="164"/>
      <c r="B140" s="174"/>
      <c r="C140" s="198" t="s">
        <v>316</v>
      </c>
      <c r="D140" s="177"/>
      <c r="E140" s="181">
        <v>1</v>
      </c>
      <c r="F140" s="185"/>
      <c r="G140" s="185"/>
      <c r="H140" s="185"/>
      <c r="I140" s="185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 t="s">
        <v>136</v>
      </c>
      <c r="U140" s="163">
        <v>0</v>
      </c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</row>
    <row r="141" spans="1:47" outlineLevel="1" x14ac:dyDescent="0.2">
      <c r="A141" s="164">
        <v>62</v>
      </c>
      <c r="B141" s="174" t="s">
        <v>317</v>
      </c>
      <c r="C141" s="197" t="s">
        <v>318</v>
      </c>
      <c r="D141" s="176" t="s">
        <v>197</v>
      </c>
      <c r="E141" s="180">
        <v>1</v>
      </c>
      <c r="F141" s="184">
        <v>0</v>
      </c>
      <c r="G141" s="185">
        <f>ROUND(E141*F141,2)</f>
        <v>0</v>
      </c>
      <c r="H141" s="185" t="s">
        <v>255</v>
      </c>
      <c r="I141" s="185" t="s">
        <v>133</v>
      </c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 t="s">
        <v>256</v>
      </c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</row>
    <row r="142" spans="1:47" outlineLevel="1" x14ac:dyDescent="0.2">
      <c r="A142" s="164">
        <v>63</v>
      </c>
      <c r="B142" s="174" t="s">
        <v>319</v>
      </c>
      <c r="C142" s="197" t="s">
        <v>320</v>
      </c>
      <c r="D142" s="176" t="s">
        <v>197</v>
      </c>
      <c r="E142" s="180">
        <v>1</v>
      </c>
      <c r="F142" s="184">
        <v>0</v>
      </c>
      <c r="G142" s="185">
        <f>ROUND(E142*F142,2)</f>
        <v>0</v>
      </c>
      <c r="H142" s="185" t="s">
        <v>255</v>
      </c>
      <c r="I142" s="185" t="s">
        <v>133</v>
      </c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 t="s">
        <v>256</v>
      </c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</row>
    <row r="143" spans="1:47" x14ac:dyDescent="0.2">
      <c r="A143" s="170" t="s">
        <v>127</v>
      </c>
      <c r="B143" s="175" t="s">
        <v>94</v>
      </c>
      <c r="C143" s="199" t="s">
        <v>95</v>
      </c>
      <c r="D143" s="178"/>
      <c r="E143" s="182"/>
      <c r="F143" s="186"/>
      <c r="G143" s="186">
        <f>SUMIF(T144:T156,"&lt;&gt;NOR",G144:G156)</f>
        <v>0</v>
      </c>
      <c r="H143" s="186"/>
      <c r="I143" s="186"/>
      <c r="T143" t="s">
        <v>128</v>
      </c>
    </row>
    <row r="144" spans="1:47" outlineLevel="1" x14ac:dyDescent="0.2">
      <c r="A144" s="164">
        <v>64</v>
      </c>
      <c r="B144" s="174" t="s">
        <v>321</v>
      </c>
      <c r="C144" s="197" t="s">
        <v>322</v>
      </c>
      <c r="D144" s="176" t="s">
        <v>146</v>
      </c>
      <c r="E144" s="180">
        <v>139.25</v>
      </c>
      <c r="F144" s="184">
        <v>0</v>
      </c>
      <c r="G144" s="185">
        <f>ROUND(E144*F144,2)</f>
        <v>0</v>
      </c>
      <c r="H144" s="185" t="s">
        <v>323</v>
      </c>
      <c r="I144" s="185" t="s">
        <v>133</v>
      </c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 t="s">
        <v>134</v>
      </c>
      <c r="U144" s="163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</row>
    <row r="145" spans="1:47" outlineLevel="1" x14ac:dyDescent="0.2">
      <c r="A145" s="164"/>
      <c r="B145" s="174"/>
      <c r="C145" s="198" t="s">
        <v>158</v>
      </c>
      <c r="D145" s="177"/>
      <c r="E145" s="181">
        <v>20</v>
      </c>
      <c r="F145" s="185"/>
      <c r="G145" s="185"/>
      <c r="H145" s="185"/>
      <c r="I145" s="185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 t="s">
        <v>136</v>
      </c>
      <c r="U145" s="163">
        <v>0</v>
      </c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/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</row>
    <row r="146" spans="1:47" outlineLevel="1" x14ac:dyDescent="0.2">
      <c r="A146" s="164"/>
      <c r="B146" s="174"/>
      <c r="C146" s="198" t="s">
        <v>159</v>
      </c>
      <c r="D146" s="177"/>
      <c r="E146" s="181">
        <v>30.6</v>
      </c>
      <c r="F146" s="185"/>
      <c r="G146" s="185"/>
      <c r="H146" s="185"/>
      <c r="I146" s="185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 t="s">
        <v>136</v>
      </c>
      <c r="U146" s="163">
        <v>0</v>
      </c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</row>
    <row r="147" spans="1:47" outlineLevel="1" x14ac:dyDescent="0.2">
      <c r="A147" s="164"/>
      <c r="B147" s="174"/>
      <c r="C147" s="198" t="s">
        <v>160</v>
      </c>
      <c r="D147" s="177"/>
      <c r="E147" s="181">
        <v>29.55</v>
      </c>
      <c r="F147" s="185"/>
      <c r="G147" s="185"/>
      <c r="H147" s="185"/>
      <c r="I147" s="185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 t="s">
        <v>136</v>
      </c>
      <c r="U147" s="163">
        <v>0</v>
      </c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</row>
    <row r="148" spans="1:47" outlineLevel="1" x14ac:dyDescent="0.2">
      <c r="A148" s="164"/>
      <c r="B148" s="174"/>
      <c r="C148" s="198" t="s">
        <v>162</v>
      </c>
      <c r="D148" s="177"/>
      <c r="E148" s="181">
        <v>9.1999999999999993</v>
      </c>
      <c r="F148" s="185"/>
      <c r="G148" s="185"/>
      <c r="H148" s="185"/>
      <c r="I148" s="185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 t="s">
        <v>136</v>
      </c>
      <c r="U148" s="163">
        <v>0</v>
      </c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</row>
    <row r="149" spans="1:47" outlineLevel="1" x14ac:dyDescent="0.2">
      <c r="A149" s="164"/>
      <c r="B149" s="174"/>
      <c r="C149" s="198" t="s">
        <v>163</v>
      </c>
      <c r="D149" s="177"/>
      <c r="E149" s="181">
        <v>12.1</v>
      </c>
      <c r="F149" s="185"/>
      <c r="G149" s="185"/>
      <c r="H149" s="185"/>
      <c r="I149" s="185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 t="s">
        <v>136</v>
      </c>
      <c r="U149" s="163">
        <v>0</v>
      </c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</row>
    <row r="150" spans="1:47" outlineLevel="1" x14ac:dyDescent="0.2">
      <c r="A150" s="164"/>
      <c r="B150" s="174"/>
      <c r="C150" s="198" t="s">
        <v>164</v>
      </c>
      <c r="D150" s="177"/>
      <c r="E150" s="181">
        <v>37.799999999999997</v>
      </c>
      <c r="F150" s="185"/>
      <c r="G150" s="185"/>
      <c r="H150" s="185"/>
      <c r="I150" s="185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 t="s">
        <v>136</v>
      </c>
      <c r="U150" s="163">
        <v>0</v>
      </c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</row>
    <row r="151" spans="1:47" outlineLevel="1" x14ac:dyDescent="0.2">
      <c r="A151" s="164">
        <v>65</v>
      </c>
      <c r="B151" s="174" t="s">
        <v>324</v>
      </c>
      <c r="C151" s="197" t="s">
        <v>325</v>
      </c>
      <c r="D151" s="176" t="s">
        <v>146</v>
      </c>
      <c r="E151" s="180">
        <v>139.25</v>
      </c>
      <c r="F151" s="184">
        <v>0</v>
      </c>
      <c r="G151" s="185">
        <f>ROUND(E151*F151,2)</f>
        <v>0</v>
      </c>
      <c r="H151" s="185" t="s">
        <v>323</v>
      </c>
      <c r="I151" s="185" t="s">
        <v>133</v>
      </c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 t="s">
        <v>134</v>
      </c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</row>
    <row r="152" spans="1:47" outlineLevel="1" x14ac:dyDescent="0.2">
      <c r="A152" s="164">
        <v>66</v>
      </c>
      <c r="B152" s="174" t="s">
        <v>326</v>
      </c>
      <c r="C152" s="197" t="s">
        <v>327</v>
      </c>
      <c r="D152" s="176" t="s">
        <v>146</v>
      </c>
      <c r="E152" s="180">
        <v>2.15</v>
      </c>
      <c r="F152" s="184">
        <v>0</v>
      </c>
      <c r="G152" s="185">
        <f>ROUND(E152*F152,2)</f>
        <v>0</v>
      </c>
      <c r="H152" s="185" t="s">
        <v>323</v>
      </c>
      <c r="I152" s="185" t="s">
        <v>133</v>
      </c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 t="s">
        <v>134</v>
      </c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</row>
    <row r="153" spans="1:47" outlineLevel="1" x14ac:dyDescent="0.2">
      <c r="A153" s="164"/>
      <c r="B153" s="174"/>
      <c r="C153" s="198" t="s">
        <v>328</v>
      </c>
      <c r="D153" s="177"/>
      <c r="E153" s="181">
        <v>0.9</v>
      </c>
      <c r="F153" s="185"/>
      <c r="G153" s="185"/>
      <c r="H153" s="185"/>
      <c r="I153" s="185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 t="s">
        <v>136</v>
      </c>
      <c r="U153" s="163">
        <v>0</v>
      </c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</row>
    <row r="154" spans="1:47" outlineLevel="1" x14ac:dyDescent="0.2">
      <c r="A154" s="164"/>
      <c r="B154" s="174"/>
      <c r="C154" s="198" t="s">
        <v>329</v>
      </c>
      <c r="D154" s="177"/>
      <c r="E154" s="181">
        <v>1.25</v>
      </c>
      <c r="F154" s="185"/>
      <c r="G154" s="185"/>
      <c r="H154" s="185"/>
      <c r="I154" s="185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 t="s">
        <v>136</v>
      </c>
      <c r="U154" s="163">
        <v>0</v>
      </c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/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</row>
    <row r="155" spans="1:47" ht="22.5" outlineLevel="1" x14ac:dyDescent="0.2">
      <c r="A155" s="164">
        <v>67</v>
      </c>
      <c r="B155" s="174" t="s">
        <v>330</v>
      </c>
      <c r="C155" s="197" t="s">
        <v>504</v>
      </c>
      <c r="D155" s="176" t="s">
        <v>131</v>
      </c>
      <c r="E155" s="180">
        <v>15</v>
      </c>
      <c r="F155" s="184">
        <v>0</v>
      </c>
      <c r="G155" s="185">
        <f>ROUND(E155*F155,2)</f>
        <v>0</v>
      </c>
      <c r="H155" s="185"/>
      <c r="I155" s="185" t="s">
        <v>180</v>
      </c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 t="s">
        <v>256</v>
      </c>
      <c r="U155" s="163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</row>
    <row r="156" spans="1:47" outlineLevel="1" x14ac:dyDescent="0.2">
      <c r="A156" s="164">
        <v>68</v>
      </c>
      <c r="B156" s="174" t="s">
        <v>331</v>
      </c>
      <c r="C156" s="197" t="s">
        <v>332</v>
      </c>
      <c r="D156" s="176" t="s">
        <v>0</v>
      </c>
      <c r="E156" s="180">
        <v>310.63369999999998</v>
      </c>
      <c r="F156" s="184">
        <v>0</v>
      </c>
      <c r="G156" s="185">
        <f>ROUND(E156*F156,2)</f>
        <v>0</v>
      </c>
      <c r="H156" s="185" t="s">
        <v>323</v>
      </c>
      <c r="I156" s="185" t="s">
        <v>133</v>
      </c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 t="s">
        <v>223</v>
      </c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/>
      <c r="AF156" s="163"/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</row>
    <row r="157" spans="1:47" x14ac:dyDescent="0.2">
      <c r="A157" s="170" t="s">
        <v>127</v>
      </c>
      <c r="B157" s="175" t="s">
        <v>96</v>
      </c>
      <c r="C157" s="199" t="s">
        <v>97</v>
      </c>
      <c r="D157" s="178"/>
      <c r="E157" s="182"/>
      <c r="F157" s="186"/>
      <c r="G157" s="186">
        <f>SUMIF(T158:T173,"&lt;&gt;NOR",G158:G173)</f>
        <v>0</v>
      </c>
      <c r="H157" s="186"/>
      <c r="I157" s="186"/>
      <c r="T157" t="s">
        <v>128</v>
      </c>
    </row>
    <row r="158" spans="1:47" ht="22.5" outlineLevel="1" x14ac:dyDescent="0.2">
      <c r="A158" s="164">
        <v>69</v>
      </c>
      <c r="B158" s="174" t="s">
        <v>333</v>
      </c>
      <c r="C158" s="197" t="s">
        <v>334</v>
      </c>
      <c r="D158" s="176" t="s">
        <v>146</v>
      </c>
      <c r="E158" s="180">
        <v>163.44999999999999</v>
      </c>
      <c r="F158" s="184">
        <v>0</v>
      </c>
      <c r="G158" s="185">
        <f>ROUND(E158*F158,2)</f>
        <v>0</v>
      </c>
      <c r="H158" s="185" t="s">
        <v>323</v>
      </c>
      <c r="I158" s="185" t="s">
        <v>133</v>
      </c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 t="s">
        <v>134</v>
      </c>
      <c r="U158" s="163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</row>
    <row r="159" spans="1:47" outlineLevel="1" x14ac:dyDescent="0.2">
      <c r="A159" s="164"/>
      <c r="B159" s="174"/>
      <c r="C159" s="205" t="s">
        <v>335</v>
      </c>
      <c r="D159" s="177"/>
      <c r="E159" s="181">
        <v>11.6</v>
      </c>
      <c r="F159" s="185"/>
      <c r="G159" s="185"/>
      <c r="H159" s="185"/>
      <c r="I159" s="185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 t="s">
        <v>136</v>
      </c>
      <c r="U159" s="163">
        <v>0</v>
      </c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/>
      <c r="AF159" s="163"/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</row>
    <row r="160" spans="1:47" outlineLevel="1" x14ac:dyDescent="0.2">
      <c r="A160" s="164"/>
      <c r="B160" s="174"/>
      <c r="C160" s="198" t="s">
        <v>336</v>
      </c>
      <c r="D160" s="177"/>
      <c r="E160" s="181"/>
      <c r="F160" s="185"/>
      <c r="G160" s="185"/>
      <c r="H160" s="185"/>
      <c r="I160" s="185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 t="s">
        <v>136</v>
      </c>
      <c r="U160" s="163">
        <v>0</v>
      </c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/>
      <c r="AF160" s="163"/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</row>
    <row r="161" spans="1:47" outlineLevel="1" x14ac:dyDescent="0.2">
      <c r="A161" s="164"/>
      <c r="B161" s="174"/>
      <c r="C161" s="198" t="s">
        <v>158</v>
      </c>
      <c r="D161" s="177"/>
      <c r="E161" s="181">
        <v>20</v>
      </c>
      <c r="F161" s="185"/>
      <c r="G161" s="185"/>
      <c r="H161" s="185"/>
      <c r="I161" s="185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 t="s">
        <v>136</v>
      </c>
      <c r="U161" s="163">
        <v>0</v>
      </c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/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</row>
    <row r="162" spans="1:47" outlineLevel="1" x14ac:dyDescent="0.2">
      <c r="A162" s="164"/>
      <c r="B162" s="174"/>
      <c r="C162" s="198" t="s">
        <v>159</v>
      </c>
      <c r="D162" s="177"/>
      <c r="E162" s="181">
        <v>30.6</v>
      </c>
      <c r="F162" s="185"/>
      <c r="G162" s="185"/>
      <c r="H162" s="185"/>
      <c r="I162" s="185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 t="s">
        <v>136</v>
      </c>
      <c r="U162" s="163">
        <v>0</v>
      </c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</row>
    <row r="163" spans="1:47" outlineLevel="1" x14ac:dyDescent="0.2">
      <c r="A163" s="164"/>
      <c r="B163" s="174"/>
      <c r="C163" s="198" t="s">
        <v>160</v>
      </c>
      <c r="D163" s="177"/>
      <c r="E163" s="181">
        <v>29.55</v>
      </c>
      <c r="F163" s="185"/>
      <c r="G163" s="185"/>
      <c r="H163" s="185"/>
      <c r="I163" s="185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 t="s">
        <v>136</v>
      </c>
      <c r="U163" s="163">
        <v>0</v>
      </c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/>
      <c r="AF163" s="163"/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</row>
    <row r="164" spans="1:47" outlineLevel="1" x14ac:dyDescent="0.2">
      <c r="A164" s="164"/>
      <c r="B164" s="174"/>
      <c r="C164" s="198" t="s">
        <v>161</v>
      </c>
      <c r="D164" s="177"/>
      <c r="E164" s="181">
        <v>12.6</v>
      </c>
      <c r="F164" s="185"/>
      <c r="G164" s="185"/>
      <c r="H164" s="185"/>
      <c r="I164" s="185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 t="s">
        <v>136</v>
      </c>
      <c r="U164" s="163">
        <v>0</v>
      </c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</row>
    <row r="165" spans="1:47" outlineLevel="1" x14ac:dyDescent="0.2">
      <c r="A165" s="164"/>
      <c r="B165" s="174"/>
      <c r="C165" s="198" t="s">
        <v>162</v>
      </c>
      <c r="D165" s="177"/>
      <c r="E165" s="181">
        <v>9.1999999999999993</v>
      </c>
      <c r="F165" s="185"/>
      <c r="G165" s="185"/>
      <c r="H165" s="185"/>
      <c r="I165" s="185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 t="s">
        <v>136</v>
      </c>
      <c r="U165" s="163">
        <v>0</v>
      </c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</row>
    <row r="166" spans="1:47" outlineLevel="1" x14ac:dyDescent="0.2">
      <c r="A166" s="164"/>
      <c r="B166" s="174"/>
      <c r="C166" s="198" t="s">
        <v>163</v>
      </c>
      <c r="D166" s="177"/>
      <c r="E166" s="181">
        <v>12.1</v>
      </c>
      <c r="F166" s="185"/>
      <c r="G166" s="185"/>
      <c r="H166" s="185"/>
      <c r="I166" s="185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 t="s">
        <v>136</v>
      </c>
      <c r="U166" s="163">
        <v>0</v>
      </c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/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</row>
    <row r="167" spans="1:47" outlineLevel="1" x14ac:dyDescent="0.2">
      <c r="A167" s="164"/>
      <c r="B167" s="174"/>
      <c r="C167" s="198" t="s">
        <v>164</v>
      </c>
      <c r="D167" s="177"/>
      <c r="E167" s="181">
        <v>37.799999999999997</v>
      </c>
      <c r="F167" s="185"/>
      <c r="G167" s="185"/>
      <c r="H167" s="185"/>
      <c r="I167" s="185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 t="s">
        <v>136</v>
      </c>
      <c r="U167" s="163">
        <v>0</v>
      </c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/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</row>
    <row r="168" spans="1:47" ht="22.5" outlineLevel="1" x14ac:dyDescent="0.2">
      <c r="A168" s="164">
        <v>70</v>
      </c>
      <c r="B168" s="174" t="s">
        <v>337</v>
      </c>
      <c r="C168" s="197" t="s">
        <v>338</v>
      </c>
      <c r="D168" s="176" t="s">
        <v>131</v>
      </c>
      <c r="E168" s="180">
        <v>139.85</v>
      </c>
      <c r="F168" s="184">
        <v>0</v>
      </c>
      <c r="G168" s="185">
        <f>ROUND(E168*F168,2)</f>
        <v>0</v>
      </c>
      <c r="H168" s="185"/>
      <c r="I168" s="185" t="s">
        <v>180</v>
      </c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 t="s">
        <v>134</v>
      </c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/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</row>
    <row r="169" spans="1:47" ht="22.5" outlineLevel="1" x14ac:dyDescent="0.2">
      <c r="A169" s="164">
        <v>71</v>
      </c>
      <c r="B169" s="174" t="s">
        <v>339</v>
      </c>
      <c r="C169" s="197" t="s">
        <v>340</v>
      </c>
      <c r="D169" s="176" t="s">
        <v>131</v>
      </c>
      <c r="E169" s="180">
        <v>61.3</v>
      </c>
      <c r="F169" s="184">
        <v>0</v>
      </c>
      <c r="G169" s="185">
        <f>ROUND(E169*F169,2)</f>
        <v>0</v>
      </c>
      <c r="H169" s="185"/>
      <c r="I169" s="185" t="s">
        <v>180</v>
      </c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 t="s">
        <v>134</v>
      </c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</row>
    <row r="170" spans="1:47" outlineLevel="1" x14ac:dyDescent="0.2">
      <c r="A170" s="164">
        <v>72</v>
      </c>
      <c r="B170" s="174" t="s">
        <v>341</v>
      </c>
      <c r="C170" s="197" t="s">
        <v>342</v>
      </c>
      <c r="D170" s="176" t="s">
        <v>146</v>
      </c>
      <c r="E170" s="180">
        <v>12.6</v>
      </c>
      <c r="F170" s="184">
        <v>0</v>
      </c>
      <c r="G170" s="185">
        <f>ROUND(E170*F170,2)</f>
        <v>0</v>
      </c>
      <c r="H170" s="185"/>
      <c r="I170" s="185" t="s">
        <v>180</v>
      </c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 t="s">
        <v>134</v>
      </c>
      <c r="U170" s="163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</row>
    <row r="171" spans="1:47" outlineLevel="1" x14ac:dyDescent="0.2">
      <c r="A171" s="164"/>
      <c r="B171" s="174"/>
      <c r="C171" s="198" t="s">
        <v>343</v>
      </c>
      <c r="D171" s="177"/>
      <c r="E171" s="181">
        <v>12.6</v>
      </c>
      <c r="F171" s="185"/>
      <c r="G171" s="185"/>
      <c r="H171" s="185"/>
      <c r="I171" s="185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 t="s">
        <v>136</v>
      </c>
      <c r="U171" s="163">
        <v>0</v>
      </c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/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</row>
    <row r="172" spans="1:47" outlineLevel="1" x14ac:dyDescent="0.2">
      <c r="A172" s="164">
        <v>73</v>
      </c>
      <c r="B172" s="174" t="s">
        <v>344</v>
      </c>
      <c r="C172" s="197" t="s">
        <v>345</v>
      </c>
      <c r="D172" s="176" t="s">
        <v>146</v>
      </c>
      <c r="E172" s="180">
        <v>163.44999999999999</v>
      </c>
      <c r="F172" s="184">
        <v>0</v>
      </c>
      <c r="G172" s="185">
        <f>ROUND(E172*F172,2)</f>
        <v>0</v>
      </c>
      <c r="H172" s="185"/>
      <c r="I172" s="185" t="s">
        <v>180</v>
      </c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 t="s">
        <v>134</v>
      </c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/>
      <c r="AF172" s="163"/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</row>
    <row r="173" spans="1:47" outlineLevel="1" x14ac:dyDescent="0.2">
      <c r="A173" s="164">
        <v>74</v>
      </c>
      <c r="B173" s="174" t="s">
        <v>346</v>
      </c>
      <c r="C173" s="197" t="s">
        <v>347</v>
      </c>
      <c r="D173" s="176" t="s">
        <v>0</v>
      </c>
      <c r="E173" s="180">
        <v>3877.0187000000001</v>
      </c>
      <c r="F173" s="184">
        <v>0</v>
      </c>
      <c r="G173" s="185">
        <f>ROUND(E173*F173,2)</f>
        <v>0</v>
      </c>
      <c r="H173" s="185" t="s">
        <v>348</v>
      </c>
      <c r="I173" s="185" t="s">
        <v>133</v>
      </c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 t="s">
        <v>223</v>
      </c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/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</row>
    <row r="174" spans="1:47" x14ac:dyDescent="0.2">
      <c r="A174" s="170" t="s">
        <v>127</v>
      </c>
      <c r="B174" s="175" t="s">
        <v>98</v>
      </c>
      <c r="C174" s="199" t="s">
        <v>99</v>
      </c>
      <c r="D174" s="178"/>
      <c r="E174" s="182"/>
      <c r="F174" s="186"/>
      <c r="G174" s="186">
        <f>SUMIF(T175:T190,"&lt;&gt;NOR",G175:G190)</f>
        <v>0</v>
      </c>
      <c r="H174" s="186"/>
      <c r="I174" s="186"/>
      <c r="T174" t="s">
        <v>128</v>
      </c>
    </row>
    <row r="175" spans="1:47" outlineLevel="1" x14ac:dyDescent="0.2">
      <c r="A175" s="164">
        <v>75</v>
      </c>
      <c r="B175" s="174" t="s">
        <v>349</v>
      </c>
      <c r="C175" s="197" t="s">
        <v>350</v>
      </c>
      <c r="D175" s="176" t="s">
        <v>131</v>
      </c>
      <c r="E175" s="180">
        <v>14.744999999999999</v>
      </c>
      <c r="F175" s="184">
        <v>0</v>
      </c>
      <c r="G175" s="185">
        <f>ROUND(E175*F175,2)</f>
        <v>0</v>
      </c>
      <c r="H175" s="185" t="s">
        <v>323</v>
      </c>
      <c r="I175" s="185" t="s">
        <v>133</v>
      </c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 t="s">
        <v>134</v>
      </c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/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</row>
    <row r="176" spans="1:47" outlineLevel="1" x14ac:dyDescent="0.2">
      <c r="A176" s="164">
        <v>76</v>
      </c>
      <c r="B176" s="174" t="s">
        <v>351</v>
      </c>
      <c r="C176" s="197" t="s">
        <v>352</v>
      </c>
      <c r="D176" s="176" t="s">
        <v>197</v>
      </c>
      <c r="E176" s="180">
        <v>90</v>
      </c>
      <c r="F176" s="184">
        <v>0</v>
      </c>
      <c r="G176" s="185">
        <f>ROUND(E176*F176,2)</f>
        <v>0</v>
      </c>
      <c r="H176" s="185" t="s">
        <v>323</v>
      </c>
      <c r="I176" s="185" t="s">
        <v>133</v>
      </c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 t="s">
        <v>134</v>
      </c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</row>
    <row r="177" spans="1:47" outlineLevel="1" x14ac:dyDescent="0.2">
      <c r="A177" s="164"/>
      <c r="B177" s="174"/>
      <c r="C177" s="198" t="s">
        <v>353</v>
      </c>
      <c r="D177" s="177"/>
      <c r="E177" s="181">
        <v>10</v>
      </c>
      <c r="F177" s="185"/>
      <c r="G177" s="185"/>
      <c r="H177" s="185"/>
      <c r="I177" s="185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 t="s">
        <v>136</v>
      </c>
      <c r="U177" s="163">
        <v>0</v>
      </c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/>
      <c r="AF177" s="163"/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</row>
    <row r="178" spans="1:47" outlineLevel="1" x14ac:dyDescent="0.2">
      <c r="A178" s="164"/>
      <c r="B178" s="174"/>
      <c r="C178" s="198" t="s">
        <v>354</v>
      </c>
      <c r="D178" s="177"/>
      <c r="E178" s="181">
        <v>80</v>
      </c>
      <c r="F178" s="185"/>
      <c r="G178" s="185"/>
      <c r="H178" s="185"/>
      <c r="I178" s="185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 t="s">
        <v>136</v>
      </c>
      <c r="U178" s="163">
        <v>0</v>
      </c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/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</row>
    <row r="179" spans="1:47" outlineLevel="1" x14ac:dyDescent="0.2">
      <c r="A179" s="164">
        <v>77</v>
      </c>
      <c r="B179" s="174" t="s">
        <v>355</v>
      </c>
      <c r="C179" s="197" t="s">
        <v>356</v>
      </c>
      <c r="D179" s="176" t="s">
        <v>131</v>
      </c>
      <c r="E179" s="180">
        <v>35.805</v>
      </c>
      <c r="F179" s="184">
        <v>0</v>
      </c>
      <c r="G179" s="185">
        <f>ROUND(E179*F179,2)</f>
        <v>0</v>
      </c>
      <c r="H179" s="185" t="s">
        <v>323</v>
      </c>
      <c r="I179" s="185" t="s">
        <v>133</v>
      </c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 t="s">
        <v>134</v>
      </c>
      <c r="U179" s="163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</row>
    <row r="180" spans="1:47" outlineLevel="1" x14ac:dyDescent="0.2">
      <c r="A180" s="164"/>
      <c r="B180" s="174"/>
      <c r="C180" s="198" t="s">
        <v>220</v>
      </c>
      <c r="D180" s="177"/>
      <c r="E180" s="181">
        <v>21.06</v>
      </c>
      <c r="F180" s="185"/>
      <c r="G180" s="185"/>
      <c r="H180" s="185"/>
      <c r="I180" s="185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 t="s">
        <v>136</v>
      </c>
      <c r="U180" s="163">
        <v>0</v>
      </c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/>
      <c r="AF180" s="163"/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</row>
    <row r="181" spans="1:47" outlineLevel="1" x14ac:dyDescent="0.2">
      <c r="A181" s="164"/>
      <c r="B181" s="174"/>
      <c r="C181" s="198" t="s">
        <v>336</v>
      </c>
      <c r="D181" s="177"/>
      <c r="E181" s="181"/>
      <c r="F181" s="185"/>
      <c r="G181" s="185"/>
      <c r="H181" s="185"/>
      <c r="I181" s="185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 t="s">
        <v>136</v>
      </c>
      <c r="U181" s="163">
        <v>0</v>
      </c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/>
      <c r="AF181" s="163"/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</row>
    <row r="182" spans="1:47" ht="22.5" outlineLevel="1" x14ac:dyDescent="0.2">
      <c r="A182" s="164"/>
      <c r="B182" s="174"/>
      <c r="C182" s="198" t="s">
        <v>139</v>
      </c>
      <c r="D182" s="177"/>
      <c r="E182" s="181">
        <v>13.92</v>
      </c>
      <c r="F182" s="185"/>
      <c r="G182" s="185"/>
      <c r="H182" s="185"/>
      <c r="I182" s="185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 t="s">
        <v>136</v>
      </c>
      <c r="U182" s="163">
        <v>0</v>
      </c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/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</row>
    <row r="183" spans="1:47" outlineLevel="1" x14ac:dyDescent="0.2">
      <c r="A183" s="164"/>
      <c r="B183" s="174"/>
      <c r="C183" s="198" t="s">
        <v>229</v>
      </c>
      <c r="D183" s="177"/>
      <c r="E183" s="181">
        <v>0.82499999999999996</v>
      </c>
      <c r="F183" s="185"/>
      <c r="G183" s="185"/>
      <c r="H183" s="185"/>
      <c r="I183" s="185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 t="s">
        <v>136</v>
      </c>
      <c r="U183" s="163">
        <v>0</v>
      </c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/>
      <c r="AF183" s="163"/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</row>
    <row r="184" spans="1:47" outlineLevel="1" x14ac:dyDescent="0.2">
      <c r="A184" s="164">
        <v>78</v>
      </c>
      <c r="B184" s="174" t="s">
        <v>357</v>
      </c>
      <c r="C184" s="197" t="s">
        <v>358</v>
      </c>
      <c r="D184" s="176" t="s">
        <v>146</v>
      </c>
      <c r="E184" s="180">
        <v>21.55</v>
      </c>
      <c r="F184" s="184">
        <v>0</v>
      </c>
      <c r="G184" s="185">
        <f>ROUND(E184*F184,2)</f>
        <v>0</v>
      </c>
      <c r="H184" s="185" t="s">
        <v>323</v>
      </c>
      <c r="I184" s="185" t="s">
        <v>133</v>
      </c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 t="s">
        <v>134</v>
      </c>
      <c r="U184" s="163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/>
      <c r="AF184" s="163"/>
      <c r="AG184" s="163"/>
      <c r="AH184" s="163"/>
      <c r="AI184" s="163"/>
      <c r="AJ184" s="163"/>
      <c r="AK184" s="163"/>
      <c r="AL184" s="163"/>
      <c r="AM184" s="163"/>
      <c r="AN184" s="163"/>
      <c r="AO184" s="163"/>
      <c r="AP184" s="163"/>
      <c r="AQ184" s="163"/>
      <c r="AR184" s="163"/>
      <c r="AS184" s="163"/>
      <c r="AT184" s="163"/>
      <c r="AU184" s="163"/>
    </row>
    <row r="185" spans="1:47" outlineLevel="1" x14ac:dyDescent="0.2">
      <c r="A185" s="164"/>
      <c r="B185" s="174"/>
      <c r="C185" s="198" t="s">
        <v>359</v>
      </c>
      <c r="D185" s="177"/>
      <c r="E185" s="181">
        <v>9.6</v>
      </c>
      <c r="F185" s="185"/>
      <c r="G185" s="185"/>
      <c r="H185" s="185"/>
      <c r="I185" s="185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 t="s">
        <v>136</v>
      </c>
      <c r="U185" s="163">
        <v>0</v>
      </c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/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</row>
    <row r="186" spans="1:47" outlineLevel="1" x14ac:dyDescent="0.2">
      <c r="A186" s="164"/>
      <c r="B186" s="174"/>
      <c r="C186" s="205" t="s">
        <v>360</v>
      </c>
      <c r="D186" s="177"/>
      <c r="E186" s="181">
        <v>11.95</v>
      </c>
      <c r="F186" s="185"/>
      <c r="G186" s="185"/>
      <c r="H186" s="185"/>
      <c r="I186" s="185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 t="s">
        <v>136</v>
      </c>
      <c r="U186" s="163">
        <v>0</v>
      </c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/>
      <c r="AF186" s="163"/>
      <c r="AG186" s="163"/>
      <c r="AH186" s="163"/>
      <c r="AI186" s="163"/>
      <c r="AJ186" s="163"/>
      <c r="AK186" s="163"/>
      <c r="AL186" s="163"/>
      <c r="AM186" s="163"/>
      <c r="AN186" s="163"/>
      <c r="AO186" s="163"/>
      <c r="AP186" s="163"/>
      <c r="AQ186" s="163"/>
      <c r="AR186" s="163"/>
      <c r="AS186" s="163"/>
      <c r="AT186" s="163"/>
      <c r="AU186" s="163"/>
    </row>
    <row r="187" spans="1:47" outlineLevel="1" x14ac:dyDescent="0.2">
      <c r="A187" s="164">
        <v>79</v>
      </c>
      <c r="B187" s="174" t="s">
        <v>361</v>
      </c>
      <c r="C187" s="197" t="s">
        <v>362</v>
      </c>
      <c r="D187" s="176" t="s">
        <v>363</v>
      </c>
      <c r="E187" s="180">
        <v>1.4744999999999999</v>
      </c>
      <c r="F187" s="184">
        <v>0</v>
      </c>
      <c r="G187" s="185">
        <f>ROUND(E187*F187,2)</f>
        <v>0</v>
      </c>
      <c r="H187" s="185" t="s">
        <v>255</v>
      </c>
      <c r="I187" s="185" t="s">
        <v>133</v>
      </c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 t="s">
        <v>256</v>
      </c>
      <c r="U187" s="163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/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</row>
    <row r="188" spans="1:47" outlineLevel="1" x14ac:dyDescent="0.2">
      <c r="A188" s="164"/>
      <c r="B188" s="174"/>
      <c r="C188" s="198" t="s">
        <v>364</v>
      </c>
      <c r="D188" s="177"/>
      <c r="E188" s="181">
        <v>1.4744999999999999</v>
      </c>
      <c r="F188" s="185"/>
      <c r="G188" s="185"/>
      <c r="H188" s="185"/>
      <c r="I188" s="185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 t="s">
        <v>136</v>
      </c>
      <c r="U188" s="163">
        <v>0</v>
      </c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/>
      <c r="AF188" s="163"/>
      <c r="AG188" s="163"/>
      <c r="AH188" s="163"/>
      <c r="AI188" s="163"/>
      <c r="AJ188" s="163"/>
      <c r="AK188" s="163"/>
      <c r="AL188" s="163"/>
      <c r="AM188" s="163"/>
      <c r="AN188" s="163"/>
      <c r="AO188" s="163"/>
      <c r="AP188" s="163"/>
      <c r="AQ188" s="163"/>
      <c r="AR188" s="163"/>
      <c r="AS188" s="163"/>
      <c r="AT188" s="163"/>
      <c r="AU188" s="163"/>
    </row>
    <row r="189" spans="1:47" ht="22.5" outlineLevel="1" x14ac:dyDescent="0.2">
      <c r="A189" s="164">
        <v>80</v>
      </c>
      <c r="B189" s="174" t="s">
        <v>365</v>
      </c>
      <c r="C189" s="197" t="s">
        <v>366</v>
      </c>
      <c r="D189" s="176" t="s">
        <v>131</v>
      </c>
      <c r="E189" s="180">
        <v>45</v>
      </c>
      <c r="F189" s="184">
        <v>0</v>
      </c>
      <c r="G189" s="185">
        <f>ROUND(E189*F189,2)</f>
        <v>0</v>
      </c>
      <c r="H189" s="185"/>
      <c r="I189" s="185" t="s">
        <v>180</v>
      </c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 t="s">
        <v>256</v>
      </c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/>
      <c r="AF189" s="163"/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</row>
    <row r="190" spans="1:47" outlineLevel="1" x14ac:dyDescent="0.2">
      <c r="A190" s="164">
        <v>81</v>
      </c>
      <c r="B190" s="174" t="s">
        <v>367</v>
      </c>
      <c r="C190" s="197" t="s">
        <v>368</v>
      </c>
      <c r="D190" s="176" t="s">
        <v>0</v>
      </c>
      <c r="E190" s="180">
        <v>451.76499999999999</v>
      </c>
      <c r="F190" s="184">
        <v>0</v>
      </c>
      <c r="G190" s="185">
        <f>ROUND(E190*F190,2)</f>
        <v>0</v>
      </c>
      <c r="H190" s="185" t="s">
        <v>323</v>
      </c>
      <c r="I190" s="185" t="s">
        <v>133</v>
      </c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 t="s">
        <v>223</v>
      </c>
      <c r="U190" s="163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/>
      <c r="AF190" s="163"/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</row>
    <row r="191" spans="1:47" x14ac:dyDescent="0.2">
      <c r="A191" s="170" t="s">
        <v>127</v>
      </c>
      <c r="B191" s="175" t="s">
        <v>100</v>
      </c>
      <c r="C191" s="199" t="s">
        <v>101</v>
      </c>
      <c r="D191" s="178"/>
      <c r="E191" s="182"/>
      <c r="F191" s="186"/>
      <c r="G191" s="186">
        <f>SUMIF(T192:T200,"&lt;&gt;NOR",G192:G200)</f>
        <v>0</v>
      </c>
      <c r="H191" s="186"/>
      <c r="I191" s="186"/>
      <c r="T191" t="s">
        <v>128</v>
      </c>
    </row>
    <row r="192" spans="1:47" outlineLevel="1" x14ac:dyDescent="0.2">
      <c r="A192" s="164">
        <v>82</v>
      </c>
      <c r="B192" s="174" t="s">
        <v>369</v>
      </c>
      <c r="C192" s="197" t="s">
        <v>370</v>
      </c>
      <c r="D192" s="176" t="s">
        <v>131</v>
      </c>
      <c r="E192" s="180">
        <v>3.0089999999999999</v>
      </c>
      <c r="F192" s="184">
        <v>0</v>
      </c>
      <c r="G192" s="185">
        <f>ROUND(E192*F192,2)</f>
        <v>0</v>
      </c>
      <c r="H192" s="185" t="s">
        <v>371</v>
      </c>
      <c r="I192" s="185" t="s">
        <v>133</v>
      </c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 t="s">
        <v>134</v>
      </c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/>
      <c r="AF192" s="163"/>
      <c r="AG192" s="163"/>
      <c r="AH192" s="163"/>
      <c r="AI192" s="163"/>
      <c r="AJ192" s="163"/>
      <c r="AK192" s="163"/>
      <c r="AL192" s="163"/>
      <c r="AM192" s="163"/>
      <c r="AN192" s="163"/>
      <c r="AO192" s="163"/>
      <c r="AP192" s="163"/>
      <c r="AQ192" s="163"/>
      <c r="AR192" s="163"/>
      <c r="AS192" s="163"/>
      <c r="AT192" s="163"/>
      <c r="AU192" s="163"/>
    </row>
    <row r="193" spans="1:47" outlineLevel="1" x14ac:dyDescent="0.2">
      <c r="A193" s="164"/>
      <c r="B193" s="174"/>
      <c r="C193" s="198" t="s">
        <v>372</v>
      </c>
      <c r="D193" s="177"/>
      <c r="E193" s="181">
        <v>1.5569999999999999</v>
      </c>
      <c r="F193" s="185"/>
      <c r="G193" s="185"/>
      <c r="H193" s="185"/>
      <c r="I193" s="185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 t="s">
        <v>136</v>
      </c>
      <c r="U193" s="163">
        <v>0</v>
      </c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/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</row>
    <row r="194" spans="1:47" outlineLevel="1" x14ac:dyDescent="0.2">
      <c r="A194" s="164"/>
      <c r="B194" s="174"/>
      <c r="C194" s="198" t="s">
        <v>373</v>
      </c>
      <c r="D194" s="177"/>
      <c r="E194" s="181">
        <v>1.452</v>
      </c>
      <c r="F194" s="185"/>
      <c r="G194" s="185"/>
      <c r="H194" s="185"/>
      <c r="I194" s="185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 t="s">
        <v>136</v>
      </c>
      <c r="U194" s="163">
        <v>0</v>
      </c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/>
      <c r="AF194" s="163"/>
      <c r="AG194" s="163"/>
      <c r="AH194" s="163"/>
      <c r="AI194" s="163"/>
      <c r="AJ194" s="163"/>
      <c r="AK194" s="163"/>
      <c r="AL194" s="163"/>
      <c r="AM194" s="163"/>
      <c r="AN194" s="163"/>
      <c r="AO194" s="163"/>
      <c r="AP194" s="163"/>
      <c r="AQ194" s="163"/>
      <c r="AR194" s="163"/>
      <c r="AS194" s="163"/>
      <c r="AT194" s="163"/>
      <c r="AU194" s="163"/>
    </row>
    <row r="195" spans="1:47" outlineLevel="1" x14ac:dyDescent="0.2">
      <c r="A195" s="164">
        <v>83</v>
      </c>
      <c r="B195" s="174" t="s">
        <v>374</v>
      </c>
      <c r="C195" s="197" t="s">
        <v>375</v>
      </c>
      <c r="D195" s="176" t="s">
        <v>131</v>
      </c>
      <c r="E195" s="180">
        <v>17.587499999999999</v>
      </c>
      <c r="F195" s="184">
        <v>0</v>
      </c>
      <c r="G195" s="185">
        <f>ROUND(E195*F195,2)</f>
        <v>0</v>
      </c>
      <c r="H195" s="185"/>
      <c r="I195" s="185" t="s">
        <v>180</v>
      </c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 t="s">
        <v>134</v>
      </c>
      <c r="U195" s="163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/>
      <c r="AF195" s="163"/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</row>
    <row r="196" spans="1:47" outlineLevel="1" x14ac:dyDescent="0.2">
      <c r="A196" s="164"/>
      <c r="B196" s="174"/>
      <c r="C196" s="198" t="s">
        <v>376</v>
      </c>
      <c r="D196" s="177"/>
      <c r="E196" s="181">
        <v>2.1749999999999998</v>
      </c>
      <c r="F196" s="185"/>
      <c r="G196" s="185"/>
      <c r="H196" s="185"/>
      <c r="I196" s="185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 t="s">
        <v>136</v>
      </c>
      <c r="U196" s="163">
        <v>0</v>
      </c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/>
      <c r="AF196" s="163"/>
      <c r="AG196" s="163"/>
      <c r="AH196" s="163"/>
      <c r="AI196" s="163"/>
      <c r="AJ196" s="163"/>
      <c r="AK196" s="163"/>
      <c r="AL196" s="163"/>
      <c r="AM196" s="163"/>
      <c r="AN196" s="163"/>
      <c r="AO196" s="163"/>
      <c r="AP196" s="163"/>
      <c r="AQ196" s="163"/>
      <c r="AR196" s="163"/>
      <c r="AS196" s="163"/>
      <c r="AT196" s="163"/>
      <c r="AU196" s="163"/>
    </row>
    <row r="197" spans="1:47" outlineLevel="1" x14ac:dyDescent="0.2">
      <c r="A197" s="164"/>
      <c r="B197" s="174"/>
      <c r="C197" s="198" t="s">
        <v>377</v>
      </c>
      <c r="D197" s="177"/>
      <c r="E197" s="181">
        <v>6.6749999999999998</v>
      </c>
      <c r="F197" s="185"/>
      <c r="G197" s="185"/>
      <c r="H197" s="185"/>
      <c r="I197" s="185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 t="s">
        <v>136</v>
      </c>
      <c r="U197" s="163">
        <v>0</v>
      </c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/>
      <c r="AF197" s="163"/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3"/>
      <c r="AQ197" s="163"/>
      <c r="AR197" s="163"/>
      <c r="AS197" s="163"/>
      <c r="AT197" s="163"/>
      <c r="AU197" s="163"/>
    </row>
    <row r="198" spans="1:47" outlineLevel="1" x14ac:dyDescent="0.2">
      <c r="A198" s="164"/>
      <c r="B198" s="174"/>
      <c r="C198" s="198" t="s">
        <v>378</v>
      </c>
      <c r="D198" s="177"/>
      <c r="E198" s="181">
        <v>2.4750000000000001</v>
      </c>
      <c r="F198" s="185"/>
      <c r="G198" s="185"/>
      <c r="H198" s="185"/>
      <c r="I198" s="185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 t="s">
        <v>136</v>
      </c>
      <c r="U198" s="163">
        <v>0</v>
      </c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/>
      <c r="AF198" s="163"/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</row>
    <row r="199" spans="1:47" outlineLevel="1" x14ac:dyDescent="0.2">
      <c r="A199" s="164"/>
      <c r="B199" s="174"/>
      <c r="C199" s="198" t="s">
        <v>379</v>
      </c>
      <c r="D199" s="177"/>
      <c r="E199" s="181">
        <v>2.0625</v>
      </c>
      <c r="F199" s="185"/>
      <c r="G199" s="185"/>
      <c r="H199" s="185"/>
      <c r="I199" s="185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 t="s">
        <v>136</v>
      </c>
      <c r="U199" s="163">
        <v>0</v>
      </c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/>
      <c r="AF199" s="163"/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</row>
    <row r="200" spans="1:47" outlineLevel="1" x14ac:dyDescent="0.2">
      <c r="A200" s="164"/>
      <c r="B200" s="174"/>
      <c r="C200" s="198" t="s">
        <v>380</v>
      </c>
      <c r="D200" s="177"/>
      <c r="E200" s="181">
        <v>4.2</v>
      </c>
      <c r="F200" s="185"/>
      <c r="G200" s="185"/>
      <c r="H200" s="185"/>
      <c r="I200" s="185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 t="s">
        <v>136</v>
      </c>
      <c r="U200" s="163">
        <v>0</v>
      </c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/>
      <c r="AF200" s="163"/>
      <c r="AG200" s="163"/>
      <c r="AH200" s="163"/>
      <c r="AI200" s="163"/>
      <c r="AJ200" s="163"/>
      <c r="AK200" s="163"/>
      <c r="AL200" s="163"/>
      <c r="AM200" s="163"/>
      <c r="AN200" s="163"/>
      <c r="AO200" s="163"/>
      <c r="AP200" s="163"/>
      <c r="AQ200" s="163"/>
      <c r="AR200" s="163"/>
      <c r="AS200" s="163"/>
      <c r="AT200" s="163"/>
      <c r="AU200" s="163"/>
    </row>
    <row r="201" spans="1:47" x14ac:dyDescent="0.2">
      <c r="A201" s="170" t="s">
        <v>127</v>
      </c>
      <c r="B201" s="175" t="s">
        <v>102</v>
      </c>
      <c r="C201" s="199" t="s">
        <v>103</v>
      </c>
      <c r="D201" s="178"/>
      <c r="E201" s="182"/>
      <c r="F201" s="186"/>
      <c r="G201" s="186">
        <f>SUMIF(T202:T203,"&lt;&gt;NOR",G202:G203)</f>
        <v>0</v>
      </c>
      <c r="H201" s="186"/>
      <c r="I201" s="186"/>
      <c r="T201" t="s">
        <v>128</v>
      </c>
    </row>
    <row r="202" spans="1:47" outlineLevel="1" x14ac:dyDescent="0.2">
      <c r="A202" s="164">
        <v>84</v>
      </c>
      <c r="B202" s="174" t="s">
        <v>381</v>
      </c>
      <c r="C202" s="197" t="s">
        <v>382</v>
      </c>
      <c r="D202" s="176" t="s">
        <v>131</v>
      </c>
      <c r="E202" s="180">
        <v>420</v>
      </c>
      <c r="F202" s="184">
        <v>0</v>
      </c>
      <c r="G202" s="185">
        <f>ROUND(E202*F202,2)</f>
        <v>0</v>
      </c>
      <c r="H202" s="185" t="s">
        <v>383</v>
      </c>
      <c r="I202" s="185" t="s">
        <v>133</v>
      </c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 t="s">
        <v>134</v>
      </c>
      <c r="U202" s="163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/>
      <c r="AF202" s="163"/>
      <c r="AG202" s="163"/>
      <c r="AH202" s="163"/>
      <c r="AI202" s="163"/>
      <c r="AJ202" s="163"/>
      <c r="AK202" s="163"/>
      <c r="AL202" s="163"/>
      <c r="AM202" s="163"/>
      <c r="AN202" s="163"/>
      <c r="AO202" s="163"/>
      <c r="AP202" s="163"/>
      <c r="AQ202" s="163"/>
      <c r="AR202" s="163"/>
      <c r="AS202" s="163"/>
      <c r="AT202" s="163"/>
      <c r="AU202" s="163"/>
    </row>
    <row r="203" spans="1:47" outlineLevel="1" x14ac:dyDescent="0.2">
      <c r="A203" s="164">
        <v>85</v>
      </c>
      <c r="B203" s="174" t="s">
        <v>384</v>
      </c>
      <c r="C203" s="197" t="s">
        <v>385</v>
      </c>
      <c r="D203" s="176" t="s">
        <v>131</v>
      </c>
      <c r="E203" s="180">
        <v>420</v>
      </c>
      <c r="F203" s="184">
        <v>0</v>
      </c>
      <c r="G203" s="185">
        <f>ROUND(E203*F203,2)</f>
        <v>0</v>
      </c>
      <c r="H203" s="185" t="s">
        <v>383</v>
      </c>
      <c r="I203" s="185" t="s">
        <v>133</v>
      </c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 t="s">
        <v>134</v>
      </c>
      <c r="U203" s="163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/>
      <c r="AF203" s="163"/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</row>
    <row r="204" spans="1:47" x14ac:dyDescent="0.2">
      <c r="A204" s="170" t="s">
        <v>127</v>
      </c>
      <c r="B204" s="175" t="s">
        <v>104</v>
      </c>
      <c r="C204" s="199" t="s">
        <v>105</v>
      </c>
      <c r="D204" s="178"/>
      <c r="E204" s="182"/>
      <c r="F204" s="186"/>
      <c r="G204" s="186">
        <f>SUMIF(T205:T211,"&lt;&gt;NOR",G205:G211)</f>
        <v>0</v>
      </c>
      <c r="H204" s="186"/>
      <c r="I204" s="186"/>
      <c r="T204" t="s">
        <v>128</v>
      </c>
    </row>
    <row r="205" spans="1:47" ht="22.5" outlineLevel="1" x14ac:dyDescent="0.2">
      <c r="A205" s="164">
        <v>86</v>
      </c>
      <c r="B205" s="174" t="s">
        <v>386</v>
      </c>
      <c r="C205" s="197" t="s">
        <v>505</v>
      </c>
      <c r="D205" s="176" t="s">
        <v>185</v>
      </c>
      <c r="E205" s="180">
        <v>1</v>
      </c>
      <c r="F205" s="184">
        <v>0</v>
      </c>
      <c r="G205" s="185">
        <f t="shared" ref="G205:G211" si="3">ROUND(E205*F205,2)</f>
        <v>0</v>
      </c>
      <c r="H205" s="185"/>
      <c r="I205" s="185" t="s">
        <v>180</v>
      </c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 t="s">
        <v>134</v>
      </c>
      <c r="U205" s="163"/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/>
      <c r="AF205" s="163"/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</row>
    <row r="206" spans="1:47" ht="22.5" outlineLevel="1" x14ac:dyDescent="0.2">
      <c r="A206" s="164">
        <v>87</v>
      </c>
      <c r="B206" s="174" t="s">
        <v>387</v>
      </c>
      <c r="C206" s="197" t="s">
        <v>506</v>
      </c>
      <c r="D206" s="176" t="s">
        <v>185</v>
      </c>
      <c r="E206" s="180">
        <v>1</v>
      </c>
      <c r="F206" s="184">
        <v>0</v>
      </c>
      <c r="G206" s="185">
        <f t="shared" si="3"/>
        <v>0</v>
      </c>
      <c r="H206" s="185"/>
      <c r="I206" s="185" t="s">
        <v>180</v>
      </c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 t="s">
        <v>134</v>
      </c>
      <c r="U206" s="163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/>
      <c r="AF206" s="163"/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</row>
    <row r="207" spans="1:47" ht="22.5" outlineLevel="1" x14ac:dyDescent="0.2">
      <c r="A207" s="164">
        <v>88</v>
      </c>
      <c r="B207" s="174" t="s">
        <v>388</v>
      </c>
      <c r="C207" s="197" t="s">
        <v>507</v>
      </c>
      <c r="D207" s="176" t="s">
        <v>185</v>
      </c>
      <c r="E207" s="180">
        <v>1</v>
      </c>
      <c r="F207" s="184">
        <v>0</v>
      </c>
      <c r="G207" s="185">
        <f t="shared" si="3"/>
        <v>0</v>
      </c>
      <c r="H207" s="185"/>
      <c r="I207" s="185" t="s">
        <v>180</v>
      </c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 t="s">
        <v>134</v>
      </c>
      <c r="U207" s="163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/>
      <c r="AF207" s="163"/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</row>
    <row r="208" spans="1:47" ht="22.5" outlineLevel="1" x14ac:dyDescent="0.2">
      <c r="A208" s="164">
        <v>89</v>
      </c>
      <c r="B208" s="174" t="s">
        <v>389</v>
      </c>
      <c r="C208" s="197" t="s">
        <v>508</v>
      </c>
      <c r="D208" s="176" t="s">
        <v>185</v>
      </c>
      <c r="E208" s="180">
        <v>1</v>
      </c>
      <c r="F208" s="184">
        <v>0</v>
      </c>
      <c r="G208" s="185">
        <f t="shared" si="3"/>
        <v>0</v>
      </c>
      <c r="H208" s="185"/>
      <c r="I208" s="185" t="s">
        <v>180</v>
      </c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 t="s">
        <v>134</v>
      </c>
      <c r="U208" s="163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/>
      <c r="AF208" s="163"/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</row>
    <row r="209" spans="1:47" ht="22.5" outlineLevel="1" x14ac:dyDescent="0.2">
      <c r="A209" s="164">
        <v>90</v>
      </c>
      <c r="B209" s="174" t="s">
        <v>390</v>
      </c>
      <c r="C209" s="197" t="s">
        <v>509</v>
      </c>
      <c r="D209" s="176" t="s">
        <v>185</v>
      </c>
      <c r="E209" s="180">
        <v>1</v>
      </c>
      <c r="F209" s="184">
        <v>0</v>
      </c>
      <c r="G209" s="185">
        <f t="shared" si="3"/>
        <v>0</v>
      </c>
      <c r="H209" s="185"/>
      <c r="I209" s="185" t="s">
        <v>180</v>
      </c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 t="s">
        <v>134</v>
      </c>
      <c r="U209" s="163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/>
      <c r="AF209" s="163"/>
      <c r="AG209" s="163"/>
      <c r="AH209" s="163"/>
      <c r="AI209" s="163"/>
      <c r="AJ209" s="163"/>
      <c r="AK209" s="163"/>
      <c r="AL209" s="163"/>
      <c r="AM209" s="163"/>
      <c r="AN209" s="163"/>
      <c r="AO209" s="163"/>
      <c r="AP209" s="163"/>
      <c r="AQ209" s="163"/>
      <c r="AR209" s="163"/>
      <c r="AS209" s="163"/>
      <c r="AT209" s="163"/>
      <c r="AU209" s="163"/>
    </row>
    <row r="210" spans="1:47" ht="22.5" outlineLevel="1" x14ac:dyDescent="0.2">
      <c r="A210" s="164">
        <v>91</v>
      </c>
      <c r="B210" s="174" t="s">
        <v>391</v>
      </c>
      <c r="C210" s="197" t="s">
        <v>510</v>
      </c>
      <c r="D210" s="176" t="s">
        <v>185</v>
      </c>
      <c r="E210" s="180">
        <v>1</v>
      </c>
      <c r="F210" s="184">
        <v>0</v>
      </c>
      <c r="G210" s="185">
        <f t="shared" si="3"/>
        <v>0</v>
      </c>
      <c r="H210" s="185"/>
      <c r="I210" s="185" t="s">
        <v>180</v>
      </c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 t="s">
        <v>134</v>
      </c>
      <c r="U210" s="163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/>
      <c r="AF210" s="163"/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</row>
    <row r="211" spans="1:47" ht="22.5" outlineLevel="1" x14ac:dyDescent="0.2">
      <c r="A211" s="164">
        <v>92</v>
      </c>
      <c r="B211" s="174" t="s">
        <v>392</v>
      </c>
      <c r="C211" s="197" t="s">
        <v>512</v>
      </c>
      <c r="D211" s="176" t="s">
        <v>185</v>
      </c>
      <c r="E211" s="180">
        <v>1</v>
      </c>
      <c r="F211" s="184">
        <v>0</v>
      </c>
      <c r="G211" s="185">
        <f t="shared" si="3"/>
        <v>0</v>
      </c>
      <c r="H211" s="185"/>
      <c r="I211" s="185" t="s">
        <v>180</v>
      </c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 t="s">
        <v>134</v>
      </c>
      <c r="U211" s="163"/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/>
      <c r="AF211" s="163"/>
      <c r="AG211" s="163"/>
      <c r="AH211" s="163"/>
      <c r="AI211" s="163"/>
      <c r="AJ211" s="163"/>
      <c r="AK211" s="163"/>
      <c r="AL211" s="163"/>
      <c r="AM211" s="163"/>
      <c r="AN211" s="163"/>
      <c r="AO211" s="163"/>
      <c r="AP211" s="163"/>
      <c r="AQ211" s="163"/>
      <c r="AR211" s="163"/>
      <c r="AS211" s="163"/>
      <c r="AT211" s="163"/>
      <c r="AU211" s="163"/>
    </row>
    <row r="212" spans="1:47" x14ac:dyDescent="0.2">
      <c r="A212" s="170" t="s">
        <v>127</v>
      </c>
      <c r="B212" s="175" t="s">
        <v>106</v>
      </c>
      <c r="C212" s="199" t="s">
        <v>107</v>
      </c>
      <c r="D212" s="178"/>
      <c r="E212" s="182"/>
      <c r="F212" s="186"/>
      <c r="G212" s="186">
        <f>SUMIF(T213:T264,"&lt;&gt;NOR",G213:G264)</f>
        <v>0</v>
      </c>
      <c r="H212" s="186"/>
      <c r="I212" s="186"/>
      <c r="T212" t="s">
        <v>128</v>
      </c>
    </row>
    <row r="213" spans="1:47" ht="22.5" outlineLevel="1" x14ac:dyDescent="0.2">
      <c r="A213" s="164">
        <v>93</v>
      </c>
      <c r="B213" s="174" t="s">
        <v>393</v>
      </c>
      <c r="C213" s="197" t="s">
        <v>394</v>
      </c>
      <c r="D213" s="176" t="s">
        <v>146</v>
      </c>
      <c r="E213" s="180">
        <v>14</v>
      </c>
      <c r="F213" s="184">
        <v>0</v>
      </c>
      <c r="G213" s="185">
        <f t="shared" ref="G213:G222" si="4">ROUND(E213*F213,2)</f>
        <v>0</v>
      </c>
      <c r="H213" s="185" t="s">
        <v>106</v>
      </c>
      <c r="I213" s="185" t="s">
        <v>133</v>
      </c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 t="s">
        <v>134</v>
      </c>
      <c r="U213" s="163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/>
      <c r="AF213" s="163"/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</row>
    <row r="214" spans="1:47" ht="22.5" outlineLevel="1" x14ac:dyDescent="0.2">
      <c r="A214" s="164">
        <v>94</v>
      </c>
      <c r="B214" s="174" t="s">
        <v>395</v>
      </c>
      <c r="C214" s="197" t="s">
        <v>396</v>
      </c>
      <c r="D214" s="176" t="s">
        <v>146</v>
      </c>
      <c r="E214" s="180">
        <v>28</v>
      </c>
      <c r="F214" s="184">
        <v>0</v>
      </c>
      <c r="G214" s="185">
        <f t="shared" si="4"/>
        <v>0</v>
      </c>
      <c r="H214" s="185" t="s">
        <v>106</v>
      </c>
      <c r="I214" s="185" t="s">
        <v>133</v>
      </c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 t="s">
        <v>134</v>
      </c>
      <c r="U214" s="163"/>
      <c r="V214" s="163"/>
      <c r="W214" s="163"/>
      <c r="X214" s="163"/>
      <c r="Y214" s="163"/>
      <c r="Z214" s="163"/>
      <c r="AA214" s="163"/>
      <c r="AB214" s="163"/>
      <c r="AC214" s="163"/>
      <c r="AD214" s="163"/>
      <c r="AE214" s="163"/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</row>
    <row r="215" spans="1:47" outlineLevel="1" x14ac:dyDescent="0.2">
      <c r="A215" s="164">
        <v>95</v>
      </c>
      <c r="B215" s="174" t="s">
        <v>397</v>
      </c>
      <c r="C215" s="197" t="s">
        <v>398</v>
      </c>
      <c r="D215" s="176" t="s">
        <v>197</v>
      </c>
      <c r="E215" s="180">
        <v>8</v>
      </c>
      <c r="F215" s="184">
        <v>0</v>
      </c>
      <c r="G215" s="185">
        <f t="shared" si="4"/>
        <v>0</v>
      </c>
      <c r="H215" s="185" t="s">
        <v>106</v>
      </c>
      <c r="I215" s="185" t="s">
        <v>133</v>
      </c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 t="s">
        <v>134</v>
      </c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/>
      <c r="AF215" s="163"/>
      <c r="AG215" s="163"/>
      <c r="AH215" s="163"/>
      <c r="AI215" s="163"/>
      <c r="AJ215" s="163"/>
      <c r="AK215" s="163"/>
      <c r="AL215" s="163"/>
      <c r="AM215" s="163"/>
      <c r="AN215" s="163"/>
      <c r="AO215" s="163"/>
      <c r="AP215" s="163"/>
      <c r="AQ215" s="163"/>
      <c r="AR215" s="163"/>
      <c r="AS215" s="163"/>
      <c r="AT215" s="163"/>
      <c r="AU215" s="163"/>
    </row>
    <row r="216" spans="1:47" outlineLevel="1" x14ac:dyDescent="0.2">
      <c r="A216" s="164">
        <v>96</v>
      </c>
      <c r="B216" s="174" t="s">
        <v>399</v>
      </c>
      <c r="C216" s="197" t="s">
        <v>400</v>
      </c>
      <c r="D216" s="176" t="s">
        <v>146</v>
      </c>
      <c r="E216" s="180">
        <v>22</v>
      </c>
      <c r="F216" s="184">
        <v>0</v>
      </c>
      <c r="G216" s="185">
        <f t="shared" si="4"/>
        <v>0</v>
      </c>
      <c r="H216" s="185" t="s">
        <v>106</v>
      </c>
      <c r="I216" s="185" t="s">
        <v>133</v>
      </c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 t="s">
        <v>134</v>
      </c>
      <c r="U216" s="163"/>
      <c r="V216" s="163"/>
      <c r="W216" s="163"/>
      <c r="X216" s="163"/>
      <c r="Y216" s="163"/>
      <c r="Z216" s="163"/>
      <c r="AA216" s="163"/>
      <c r="AB216" s="163"/>
      <c r="AC216" s="163"/>
      <c r="AD216" s="163"/>
      <c r="AE216" s="163"/>
      <c r="AF216" s="163"/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</row>
    <row r="217" spans="1:47" outlineLevel="1" x14ac:dyDescent="0.2">
      <c r="A217" s="164">
        <v>97</v>
      </c>
      <c r="B217" s="174" t="s">
        <v>401</v>
      </c>
      <c r="C217" s="197" t="s">
        <v>402</v>
      </c>
      <c r="D217" s="176" t="s">
        <v>197</v>
      </c>
      <c r="E217" s="180">
        <v>12</v>
      </c>
      <c r="F217" s="184">
        <v>0</v>
      </c>
      <c r="G217" s="185">
        <f t="shared" si="4"/>
        <v>0</v>
      </c>
      <c r="H217" s="185" t="s">
        <v>106</v>
      </c>
      <c r="I217" s="185" t="s">
        <v>133</v>
      </c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 t="s">
        <v>134</v>
      </c>
      <c r="U217" s="163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/>
      <c r="AF217" s="163"/>
      <c r="AG217" s="163"/>
      <c r="AH217" s="163"/>
      <c r="AI217" s="163"/>
      <c r="AJ217" s="163"/>
      <c r="AK217" s="163"/>
      <c r="AL217" s="163"/>
      <c r="AM217" s="163"/>
      <c r="AN217" s="163"/>
      <c r="AO217" s="163"/>
      <c r="AP217" s="163"/>
      <c r="AQ217" s="163"/>
      <c r="AR217" s="163"/>
      <c r="AS217" s="163"/>
      <c r="AT217" s="163"/>
      <c r="AU217" s="163"/>
    </row>
    <row r="218" spans="1:47" outlineLevel="1" x14ac:dyDescent="0.2">
      <c r="A218" s="164">
        <v>98</v>
      </c>
      <c r="B218" s="174" t="s">
        <v>403</v>
      </c>
      <c r="C218" s="197" t="s">
        <v>404</v>
      </c>
      <c r="D218" s="176" t="s">
        <v>197</v>
      </c>
      <c r="E218" s="180">
        <v>2</v>
      </c>
      <c r="F218" s="184">
        <v>0</v>
      </c>
      <c r="G218" s="185">
        <f t="shared" si="4"/>
        <v>0</v>
      </c>
      <c r="H218" s="185" t="s">
        <v>106</v>
      </c>
      <c r="I218" s="185" t="s">
        <v>133</v>
      </c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 t="s">
        <v>134</v>
      </c>
      <c r="U218" s="163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/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</row>
    <row r="219" spans="1:47" outlineLevel="1" x14ac:dyDescent="0.2">
      <c r="A219" s="164">
        <v>99</v>
      </c>
      <c r="B219" s="174" t="s">
        <v>405</v>
      </c>
      <c r="C219" s="197" t="s">
        <v>406</v>
      </c>
      <c r="D219" s="176" t="s">
        <v>197</v>
      </c>
      <c r="E219" s="180">
        <v>2</v>
      </c>
      <c r="F219" s="184">
        <v>0</v>
      </c>
      <c r="G219" s="185">
        <f t="shared" si="4"/>
        <v>0</v>
      </c>
      <c r="H219" s="185" t="s">
        <v>106</v>
      </c>
      <c r="I219" s="185" t="s">
        <v>133</v>
      </c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 t="s">
        <v>134</v>
      </c>
      <c r="U219" s="163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/>
      <c r="AF219" s="163"/>
      <c r="AG219" s="163"/>
      <c r="AH219" s="163"/>
      <c r="AI219" s="163"/>
      <c r="AJ219" s="163"/>
      <c r="AK219" s="163"/>
      <c r="AL219" s="163"/>
      <c r="AM219" s="163"/>
      <c r="AN219" s="163"/>
      <c r="AO219" s="163"/>
      <c r="AP219" s="163"/>
      <c r="AQ219" s="163"/>
      <c r="AR219" s="163"/>
      <c r="AS219" s="163"/>
      <c r="AT219" s="163"/>
      <c r="AU219" s="163"/>
    </row>
    <row r="220" spans="1:47" outlineLevel="1" x14ac:dyDescent="0.2">
      <c r="A220" s="164">
        <v>100</v>
      </c>
      <c r="B220" s="174" t="s">
        <v>407</v>
      </c>
      <c r="C220" s="197" t="s">
        <v>408</v>
      </c>
      <c r="D220" s="176" t="s">
        <v>197</v>
      </c>
      <c r="E220" s="180">
        <v>2</v>
      </c>
      <c r="F220" s="184">
        <v>0</v>
      </c>
      <c r="G220" s="185">
        <f t="shared" si="4"/>
        <v>0</v>
      </c>
      <c r="H220" s="185" t="s">
        <v>106</v>
      </c>
      <c r="I220" s="185" t="s">
        <v>133</v>
      </c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 t="s">
        <v>134</v>
      </c>
      <c r="U220" s="163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/>
      <c r="AF220" s="163"/>
      <c r="AG220" s="163"/>
      <c r="AH220" s="163"/>
      <c r="AI220" s="163"/>
      <c r="AJ220" s="163"/>
      <c r="AK220" s="163"/>
      <c r="AL220" s="163"/>
      <c r="AM220" s="163"/>
      <c r="AN220" s="163"/>
      <c r="AO220" s="163"/>
      <c r="AP220" s="163"/>
      <c r="AQ220" s="163"/>
      <c r="AR220" s="163"/>
      <c r="AS220" s="163"/>
      <c r="AT220" s="163"/>
      <c r="AU220" s="163"/>
    </row>
    <row r="221" spans="1:47" outlineLevel="1" x14ac:dyDescent="0.2">
      <c r="A221" s="164">
        <v>101</v>
      </c>
      <c r="B221" s="174" t="s">
        <v>409</v>
      </c>
      <c r="C221" s="197" t="s">
        <v>410</v>
      </c>
      <c r="D221" s="176" t="s">
        <v>197</v>
      </c>
      <c r="E221" s="180">
        <v>14</v>
      </c>
      <c r="F221" s="184">
        <v>0</v>
      </c>
      <c r="G221" s="185">
        <f t="shared" si="4"/>
        <v>0</v>
      </c>
      <c r="H221" s="185" t="s">
        <v>106</v>
      </c>
      <c r="I221" s="185" t="s">
        <v>133</v>
      </c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 t="s">
        <v>134</v>
      </c>
      <c r="U221" s="163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/>
      <c r="AF221" s="163"/>
      <c r="AG221" s="163"/>
      <c r="AH221" s="163"/>
      <c r="AI221" s="163"/>
      <c r="AJ221" s="163"/>
      <c r="AK221" s="163"/>
      <c r="AL221" s="163"/>
      <c r="AM221" s="163"/>
      <c r="AN221" s="163"/>
      <c r="AO221" s="163"/>
      <c r="AP221" s="163"/>
      <c r="AQ221" s="163"/>
      <c r="AR221" s="163"/>
      <c r="AS221" s="163"/>
      <c r="AT221" s="163"/>
      <c r="AU221" s="163"/>
    </row>
    <row r="222" spans="1:47" outlineLevel="1" x14ac:dyDescent="0.2">
      <c r="A222" s="164">
        <v>102</v>
      </c>
      <c r="B222" s="174" t="s">
        <v>411</v>
      </c>
      <c r="C222" s="197" t="s">
        <v>412</v>
      </c>
      <c r="D222" s="176" t="s">
        <v>146</v>
      </c>
      <c r="E222" s="180">
        <v>10</v>
      </c>
      <c r="F222" s="184">
        <v>0</v>
      </c>
      <c r="G222" s="185">
        <f t="shared" si="4"/>
        <v>0</v>
      </c>
      <c r="H222" s="185" t="s">
        <v>106</v>
      </c>
      <c r="I222" s="185" t="s">
        <v>133</v>
      </c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 t="s">
        <v>134</v>
      </c>
      <c r="U222" s="163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/>
      <c r="AF222" s="163"/>
      <c r="AG222" s="163"/>
      <c r="AH222" s="163"/>
      <c r="AI222" s="163"/>
      <c r="AJ222" s="163"/>
      <c r="AK222" s="163"/>
      <c r="AL222" s="163"/>
      <c r="AM222" s="163"/>
      <c r="AN222" s="163"/>
      <c r="AO222" s="163"/>
      <c r="AP222" s="163"/>
      <c r="AQ222" s="163"/>
      <c r="AR222" s="163"/>
      <c r="AS222" s="163"/>
      <c r="AT222" s="163"/>
      <c r="AU222" s="163"/>
    </row>
    <row r="223" spans="1:47" outlineLevel="1" x14ac:dyDescent="0.2">
      <c r="A223" s="164"/>
      <c r="B223" s="174"/>
      <c r="C223" s="198" t="s">
        <v>413</v>
      </c>
      <c r="D223" s="177"/>
      <c r="E223" s="181">
        <v>10</v>
      </c>
      <c r="F223" s="185"/>
      <c r="G223" s="185"/>
      <c r="H223" s="185"/>
      <c r="I223" s="185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 t="s">
        <v>136</v>
      </c>
      <c r="U223" s="163">
        <v>0</v>
      </c>
      <c r="V223" s="163"/>
      <c r="W223" s="163"/>
      <c r="X223" s="163"/>
      <c r="Y223" s="163"/>
      <c r="Z223" s="163"/>
      <c r="AA223" s="163"/>
      <c r="AB223" s="163"/>
      <c r="AC223" s="163"/>
      <c r="AD223" s="163"/>
      <c r="AE223" s="163"/>
      <c r="AF223" s="163"/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</row>
    <row r="224" spans="1:47" outlineLevel="1" x14ac:dyDescent="0.2">
      <c r="A224" s="164">
        <v>103</v>
      </c>
      <c r="B224" s="174" t="s">
        <v>414</v>
      </c>
      <c r="C224" s="197" t="s">
        <v>415</v>
      </c>
      <c r="D224" s="176" t="s">
        <v>146</v>
      </c>
      <c r="E224" s="180">
        <v>10</v>
      </c>
      <c r="F224" s="184">
        <v>0</v>
      </c>
      <c r="G224" s="185">
        <f>ROUND(E224*F224,2)</f>
        <v>0</v>
      </c>
      <c r="H224" s="185" t="s">
        <v>106</v>
      </c>
      <c r="I224" s="185" t="s">
        <v>133</v>
      </c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 t="s">
        <v>134</v>
      </c>
      <c r="U224" s="163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/>
      <c r="AF224" s="163"/>
      <c r="AG224" s="163"/>
      <c r="AH224" s="163"/>
      <c r="AI224" s="163"/>
      <c r="AJ224" s="163"/>
      <c r="AK224" s="163"/>
      <c r="AL224" s="163"/>
      <c r="AM224" s="163"/>
      <c r="AN224" s="163"/>
      <c r="AO224" s="163"/>
      <c r="AP224" s="163"/>
      <c r="AQ224" s="163"/>
      <c r="AR224" s="163"/>
      <c r="AS224" s="163"/>
      <c r="AT224" s="163"/>
      <c r="AU224" s="163"/>
    </row>
    <row r="225" spans="1:47" outlineLevel="1" x14ac:dyDescent="0.2">
      <c r="A225" s="164"/>
      <c r="B225" s="174"/>
      <c r="C225" s="198" t="s">
        <v>413</v>
      </c>
      <c r="D225" s="177"/>
      <c r="E225" s="181">
        <v>10</v>
      </c>
      <c r="F225" s="185"/>
      <c r="G225" s="185"/>
      <c r="H225" s="185"/>
      <c r="I225" s="185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 t="s">
        <v>136</v>
      </c>
      <c r="U225" s="163">
        <v>0</v>
      </c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/>
      <c r="AF225" s="163"/>
      <c r="AG225" s="163"/>
      <c r="AH225" s="163"/>
      <c r="AI225" s="163"/>
      <c r="AJ225" s="163"/>
      <c r="AK225" s="163"/>
      <c r="AL225" s="163"/>
      <c r="AM225" s="163"/>
      <c r="AN225" s="163"/>
      <c r="AO225" s="163"/>
      <c r="AP225" s="163"/>
      <c r="AQ225" s="163"/>
      <c r="AR225" s="163"/>
      <c r="AS225" s="163"/>
      <c r="AT225" s="163"/>
      <c r="AU225" s="163"/>
    </row>
    <row r="226" spans="1:47" outlineLevel="1" x14ac:dyDescent="0.2">
      <c r="A226" s="164">
        <v>104</v>
      </c>
      <c r="B226" s="174" t="s">
        <v>416</v>
      </c>
      <c r="C226" s="197" t="s">
        <v>417</v>
      </c>
      <c r="D226" s="176" t="s">
        <v>146</v>
      </c>
      <c r="E226" s="180">
        <v>10</v>
      </c>
      <c r="F226" s="184">
        <v>0</v>
      </c>
      <c r="G226" s="185">
        <f>ROUND(E226*F226,2)</f>
        <v>0</v>
      </c>
      <c r="H226" s="185" t="s">
        <v>106</v>
      </c>
      <c r="I226" s="185" t="s">
        <v>133</v>
      </c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 t="s">
        <v>134</v>
      </c>
      <c r="U226" s="163"/>
      <c r="V226" s="163"/>
      <c r="W226" s="163"/>
      <c r="X226" s="163"/>
      <c r="Y226" s="163"/>
      <c r="Z226" s="163"/>
      <c r="AA226" s="163"/>
      <c r="AB226" s="163"/>
      <c r="AC226" s="163"/>
      <c r="AD226" s="163"/>
      <c r="AE226" s="163"/>
      <c r="AF226" s="163"/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</row>
    <row r="227" spans="1:47" outlineLevel="1" x14ac:dyDescent="0.2">
      <c r="A227" s="164"/>
      <c r="B227" s="174"/>
      <c r="C227" s="198" t="s">
        <v>413</v>
      </c>
      <c r="D227" s="177"/>
      <c r="E227" s="181">
        <v>10</v>
      </c>
      <c r="F227" s="185"/>
      <c r="G227" s="185"/>
      <c r="H227" s="185"/>
      <c r="I227" s="185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 t="s">
        <v>136</v>
      </c>
      <c r="U227" s="163">
        <v>0</v>
      </c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/>
      <c r="AF227" s="163"/>
      <c r="AG227" s="163"/>
      <c r="AH227" s="163"/>
      <c r="AI227" s="163"/>
      <c r="AJ227" s="163"/>
      <c r="AK227" s="163"/>
      <c r="AL227" s="163"/>
      <c r="AM227" s="163"/>
      <c r="AN227" s="163"/>
      <c r="AO227" s="163"/>
      <c r="AP227" s="163"/>
      <c r="AQ227" s="163"/>
      <c r="AR227" s="163"/>
      <c r="AS227" s="163"/>
      <c r="AT227" s="163"/>
      <c r="AU227" s="163"/>
    </row>
    <row r="228" spans="1:47" outlineLevel="1" x14ac:dyDescent="0.2">
      <c r="A228" s="164">
        <v>105</v>
      </c>
      <c r="B228" s="174" t="s">
        <v>418</v>
      </c>
      <c r="C228" s="197" t="s">
        <v>419</v>
      </c>
      <c r="D228" s="176" t="s">
        <v>146</v>
      </c>
      <c r="E228" s="180">
        <v>10</v>
      </c>
      <c r="F228" s="184">
        <v>0</v>
      </c>
      <c r="G228" s="185">
        <f>ROUND(E228*F228,2)</f>
        <v>0</v>
      </c>
      <c r="H228" s="185" t="s">
        <v>106</v>
      </c>
      <c r="I228" s="185" t="s">
        <v>133</v>
      </c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 t="s">
        <v>134</v>
      </c>
      <c r="U228" s="163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/>
      <c r="AF228" s="163"/>
      <c r="AG228" s="163"/>
      <c r="AH228" s="163"/>
      <c r="AI228" s="163"/>
      <c r="AJ228" s="163"/>
      <c r="AK228" s="163"/>
      <c r="AL228" s="163"/>
      <c r="AM228" s="163"/>
      <c r="AN228" s="163"/>
      <c r="AO228" s="163"/>
      <c r="AP228" s="163"/>
      <c r="AQ228" s="163"/>
      <c r="AR228" s="163"/>
      <c r="AS228" s="163"/>
      <c r="AT228" s="163"/>
      <c r="AU228" s="163"/>
    </row>
    <row r="229" spans="1:47" outlineLevel="1" x14ac:dyDescent="0.2">
      <c r="A229" s="164"/>
      <c r="B229" s="174"/>
      <c r="C229" s="198" t="s">
        <v>413</v>
      </c>
      <c r="D229" s="177"/>
      <c r="E229" s="181">
        <v>10</v>
      </c>
      <c r="F229" s="185"/>
      <c r="G229" s="185"/>
      <c r="H229" s="185"/>
      <c r="I229" s="185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 t="s">
        <v>136</v>
      </c>
      <c r="U229" s="163">
        <v>0</v>
      </c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</row>
    <row r="230" spans="1:47" ht="22.5" outlineLevel="1" x14ac:dyDescent="0.2">
      <c r="A230" s="164">
        <v>106</v>
      </c>
      <c r="B230" s="174" t="s">
        <v>420</v>
      </c>
      <c r="C230" s="197" t="s">
        <v>421</v>
      </c>
      <c r="D230" s="176" t="s">
        <v>146</v>
      </c>
      <c r="E230" s="180">
        <v>280</v>
      </c>
      <c r="F230" s="184">
        <v>0</v>
      </c>
      <c r="G230" s="185">
        <f>ROUND(E230*F230,2)</f>
        <v>0</v>
      </c>
      <c r="H230" s="185" t="s">
        <v>106</v>
      </c>
      <c r="I230" s="185" t="s">
        <v>133</v>
      </c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 t="s">
        <v>134</v>
      </c>
      <c r="U230" s="163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/>
      <c r="AF230" s="163"/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</row>
    <row r="231" spans="1:47" outlineLevel="1" x14ac:dyDescent="0.2">
      <c r="A231" s="164"/>
      <c r="B231" s="174"/>
      <c r="C231" s="198" t="s">
        <v>667</v>
      </c>
      <c r="D231" s="177"/>
      <c r="E231" s="181">
        <v>280</v>
      </c>
      <c r="F231" s="185"/>
      <c r="G231" s="185"/>
      <c r="H231" s="185"/>
      <c r="I231" s="185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 t="s">
        <v>136</v>
      </c>
      <c r="U231" s="163">
        <v>0</v>
      </c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/>
      <c r="AF231" s="163"/>
      <c r="AG231" s="163"/>
      <c r="AH231" s="163"/>
      <c r="AI231" s="163"/>
      <c r="AJ231" s="163"/>
      <c r="AK231" s="163"/>
      <c r="AL231" s="163"/>
      <c r="AM231" s="163"/>
      <c r="AN231" s="163"/>
      <c r="AO231" s="163"/>
      <c r="AP231" s="163"/>
      <c r="AQ231" s="163"/>
      <c r="AR231" s="163"/>
      <c r="AS231" s="163"/>
      <c r="AT231" s="163"/>
      <c r="AU231" s="163"/>
    </row>
    <row r="232" spans="1:47" ht="22.5" outlineLevel="1" x14ac:dyDescent="0.2">
      <c r="A232" s="164">
        <v>107</v>
      </c>
      <c r="B232" s="174" t="s">
        <v>422</v>
      </c>
      <c r="C232" s="197" t="s">
        <v>423</v>
      </c>
      <c r="D232" s="176" t="s">
        <v>146</v>
      </c>
      <c r="E232" s="180">
        <v>90</v>
      </c>
      <c r="F232" s="184">
        <v>0</v>
      </c>
      <c r="G232" s="185">
        <f>ROUND(E232*F232,2)</f>
        <v>0</v>
      </c>
      <c r="H232" s="185" t="s">
        <v>106</v>
      </c>
      <c r="I232" s="185" t="s">
        <v>133</v>
      </c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 t="s">
        <v>134</v>
      </c>
      <c r="U232" s="163"/>
      <c r="V232" s="163"/>
      <c r="W232" s="163"/>
      <c r="X232" s="163"/>
      <c r="Y232" s="163"/>
      <c r="Z232" s="163"/>
      <c r="AA232" s="163"/>
      <c r="AB232" s="163"/>
      <c r="AC232" s="163"/>
      <c r="AD232" s="163"/>
      <c r="AE232" s="163"/>
      <c r="AF232" s="163"/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</row>
    <row r="233" spans="1:47" outlineLevel="1" x14ac:dyDescent="0.2">
      <c r="A233" s="164"/>
      <c r="B233" s="174"/>
      <c r="C233" s="198" t="s">
        <v>668</v>
      </c>
      <c r="D233" s="177"/>
      <c r="E233" s="181">
        <v>90</v>
      </c>
      <c r="F233" s="185"/>
      <c r="G233" s="185"/>
      <c r="H233" s="185"/>
      <c r="I233" s="185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 t="s">
        <v>136</v>
      </c>
      <c r="U233" s="163">
        <v>0</v>
      </c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/>
      <c r="AF233" s="163"/>
      <c r="AG233" s="163"/>
      <c r="AH233" s="163"/>
      <c r="AI233" s="163"/>
      <c r="AJ233" s="163"/>
      <c r="AK233" s="163"/>
      <c r="AL233" s="163"/>
      <c r="AM233" s="163"/>
      <c r="AN233" s="163"/>
      <c r="AO233" s="163"/>
      <c r="AP233" s="163"/>
      <c r="AQ233" s="163"/>
      <c r="AR233" s="163"/>
      <c r="AS233" s="163"/>
      <c r="AT233" s="163"/>
      <c r="AU233" s="163"/>
    </row>
    <row r="234" spans="1:47" ht="22.5" outlineLevel="1" x14ac:dyDescent="0.2">
      <c r="A234" s="164">
        <v>108</v>
      </c>
      <c r="B234" s="174" t="s">
        <v>424</v>
      </c>
      <c r="C234" s="197" t="s">
        <v>425</v>
      </c>
      <c r="D234" s="176" t="s">
        <v>146</v>
      </c>
      <c r="E234" s="180">
        <v>150</v>
      </c>
      <c r="F234" s="184">
        <v>0</v>
      </c>
      <c r="G234" s="185">
        <f>ROUND(E234*F234,2)</f>
        <v>0</v>
      </c>
      <c r="H234" s="185" t="s">
        <v>106</v>
      </c>
      <c r="I234" s="185" t="s">
        <v>133</v>
      </c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 t="s">
        <v>134</v>
      </c>
      <c r="U234" s="163"/>
      <c r="V234" s="163"/>
      <c r="W234" s="163"/>
      <c r="X234" s="163"/>
      <c r="Y234" s="163"/>
      <c r="Z234" s="163"/>
      <c r="AA234" s="163"/>
      <c r="AB234" s="163"/>
      <c r="AC234" s="163"/>
      <c r="AD234" s="163"/>
      <c r="AE234" s="163"/>
      <c r="AF234" s="163"/>
      <c r="AG234" s="163"/>
      <c r="AH234" s="163"/>
      <c r="AI234" s="163"/>
      <c r="AJ234" s="163"/>
      <c r="AK234" s="163"/>
      <c r="AL234" s="163"/>
      <c r="AM234" s="163"/>
      <c r="AN234" s="163"/>
      <c r="AO234" s="163"/>
      <c r="AP234" s="163"/>
      <c r="AQ234" s="163"/>
      <c r="AR234" s="163"/>
      <c r="AS234" s="163"/>
      <c r="AT234" s="163"/>
      <c r="AU234" s="163"/>
    </row>
    <row r="235" spans="1:47" outlineLevel="1" x14ac:dyDescent="0.2">
      <c r="A235" s="164"/>
      <c r="B235" s="174"/>
      <c r="C235" s="198" t="s">
        <v>669</v>
      </c>
      <c r="D235" s="177"/>
      <c r="E235" s="181">
        <v>150</v>
      </c>
      <c r="F235" s="185"/>
      <c r="G235" s="185"/>
      <c r="H235" s="185"/>
      <c r="I235" s="185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 t="s">
        <v>136</v>
      </c>
      <c r="U235" s="163">
        <v>0</v>
      </c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/>
      <c r="AF235" s="163"/>
      <c r="AG235" s="163"/>
      <c r="AH235" s="163"/>
      <c r="AI235" s="163"/>
      <c r="AJ235" s="163"/>
      <c r="AK235" s="163"/>
      <c r="AL235" s="163"/>
      <c r="AM235" s="163"/>
      <c r="AN235" s="163"/>
      <c r="AO235" s="163"/>
      <c r="AP235" s="163"/>
      <c r="AQ235" s="163"/>
      <c r="AR235" s="163"/>
      <c r="AS235" s="163"/>
      <c r="AT235" s="163"/>
      <c r="AU235" s="163"/>
    </row>
    <row r="236" spans="1:47" ht="22.5" outlineLevel="1" x14ac:dyDescent="0.2">
      <c r="A236" s="164">
        <v>109</v>
      </c>
      <c r="B236" s="174" t="s">
        <v>426</v>
      </c>
      <c r="C236" s="197" t="s">
        <v>427</v>
      </c>
      <c r="D236" s="176" t="s">
        <v>146</v>
      </c>
      <c r="E236" s="180">
        <v>40</v>
      </c>
      <c r="F236" s="184">
        <v>0</v>
      </c>
      <c r="G236" s="185">
        <f>ROUND(E236*F236,2)</f>
        <v>0</v>
      </c>
      <c r="H236" s="185" t="s">
        <v>106</v>
      </c>
      <c r="I236" s="185" t="s">
        <v>133</v>
      </c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 t="s">
        <v>134</v>
      </c>
      <c r="U236" s="163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/>
      <c r="AF236" s="163"/>
      <c r="AG236" s="163"/>
      <c r="AH236" s="163"/>
      <c r="AI236" s="163"/>
      <c r="AJ236" s="163"/>
      <c r="AK236" s="163"/>
      <c r="AL236" s="163"/>
      <c r="AM236" s="163"/>
      <c r="AN236" s="163"/>
      <c r="AO236" s="163"/>
      <c r="AP236" s="163"/>
      <c r="AQ236" s="163"/>
      <c r="AR236" s="163"/>
      <c r="AS236" s="163"/>
      <c r="AT236" s="163"/>
      <c r="AU236" s="163"/>
    </row>
    <row r="237" spans="1:47" outlineLevel="1" x14ac:dyDescent="0.2">
      <c r="A237" s="164"/>
      <c r="B237" s="174"/>
      <c r="C237" s="198" t="s">
        <v>670</v>
      </c>
      <c r="D237" s="177"/>
      <c r="E237" s="181">
        <v>40</v>
      </c>
      <c r="F237" s="185"/>
      <c r="G237" s="185"/>
      <c r="H237" s="185"/>
      <c r="I237" s="185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 t="s">
        <v>136</v>
      </c>
      <c r="U237" s="163">
        <v>0</v>
      </c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/>
      <c r="AF237" s="163"/>
      <c r="AG237" s="163"/>
      <c r="AH237" s="163"/>
      <c r="AI237" s="163"/>
      <c r="AJ237" s="163"/>
      <c r="AK237" s="163"/>
      <c r="AL237" s="163"/>
      <c r="AM237" s="163"/>
      <c r="AN237" s="163"/>
      <c r="AO237" s="163"/>
      <c r="AP237" s="163"/>
      <c r="AQ237" s="163"/>
      <c r="AR237" s="163"/>
      <c r="AS237" s="163"/>
      <c r="AT237" s="163"/>
      <c r="AU237" s="163"/>
    </row>
    <row r="238" spans="1:47" ht="22.5" outlineLevel="1" x14ac:dyDescent="0.2">
      <c r="A238" s="164" t="s">
        <v>673</v>
      </c>
      <c r="B238" s="174" t="s">
        <v>428</v>
      </c>
      <c r="C238" s="197" t="s">
        <v>429</v>
      </c>
      <c r="D238" s="176" t="s">
        <v>146</v>
      </c>
      <c r="E238" s="180">
        <v>75</v>
      </c>
      <c r="F238" s="184">
        <v>0</v>
      </c>
      <c r="G238" s="185">
        <f>ROUND(E238*F238,2)</f>
        <v>0</v>
      </c>
      <c r="H238" s="185" t="s">
        <v>106</v>
      </c>
      <c r="I238" s="185" t="s">
        <v>133</v>
      </c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 t="s">
        <v>134</v>
      </c>
      <c r="U238" s="163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/>
      <c r="AF238" s="163"/>
      <c r="AG238" s="163"/>
      <c r="AH238" s="163"/>
      <c r="AI238" s="163"/>
      <c r="AJ238" s="163"/>
      <c r="AK238" s="163"/>
      <c r="AL238" s="163"/>
      <c r="AM238" s="163"/>
      <c r="AN238" s="163"/>
      <c r="AO238" s="163"/>
      <c r="AP238" s="163"/>
      <c r="AQ238" s="163"/>
      <c r="AR238" s="163"/>
      <c r="AS238" s="163"/>
      <c r="AT238" s="163"/>
      <c r="AU238" s="163"/>
    </row>
    <row r="239" spans="1:47" outlineLevel="1" x14ac:dyDescent="0.2">
      <c r="A239" s="164"/>
      <c r="B239" s="174"/>
      <c r="C239" s="198" t="s">
        <v>671</v>
      </c>
      <c r="D239" s="177"/>
      <c r="E239" s="181">
        <v>75</v>
      </c>
      <c r="F239" s="185"/>
      <c r="G239" s="185"/>
      <c r="H239" s="185"/>
      <c r="I239" s="185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 t="s">
        <v>136</v>
      </c>
      <c r="U239" s="163">
        <v>0</v>
      </c>
      <c r="V239" s="163"/>
      <c r="W239" s="163"/>
      <c r="X239" s="163"/>
      <c r="Y239" s="163"/>
      <c r="Z239" s="163"/>
      <c r="AA239" s="163"/>
      <c r="AB239" s="163"/>
      <c r="AC239" s="163"/>
      <c r="AD239" s="163"/>
      <c r="AE239" s="163"/>
      <c r="AF239" s="163"/>
      <c r="AG239" s="163"/>
      <c r="AH239" s="163"/>
      <c r="AI239" s="163"/>
      <c r="AJ239" s="163"/>
      <c r="AK239" s="163"/>
      <c r="AL239" s="163"/>
      <c r="AM239" s="163"/>
      <c r="AN239" s="163"/>
      <c r="AO239" s="163"/>
      <c r="AP239" s="163"/>
      <c r="AQ239" s="163"/>
      <c r="AR239" s="163"/>
      <c r="AS239" s="163"/>
      <c r="AT239" s="163"/>
      <c r="AU239" s="163"/>
    </row>
    <row r="240" spans="1:47" ht="22.5" outlineLevel="1" x14ac:dyDescent="0.2">
      <c r="A240" s="164" t="s">
        <v>672</v>
      </c>
      <c r="B240" s="174"/>
      <c r="C240" s="197" t="s">
        <v>674</v>
      </c>
      <c r="D240" s="176" t="s">
        <v>146</v>
      </c>
      <c r="E240" s="180">
        <v>100</v>
      </c>
      <c r="F240" s="184">
        <v>0</v>
      </c>
      <c r="G240" s="185">
        <f>ROUND(E240*F240,2)</f>
        <v>0</v>
      </c>
      <c r="H240" s="185" t="s">
        <v>106</v>
      </c>
      <c r="I240" s="185" t="s">
        <v>133</v>
      </c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/>
      <c r="AF240" s="163"/>
      <c r="AG240" s="163"/>
      <c r="AH240" s="163"/>
      <c r="AI240" s="163"/>
      <c r="AJ240" s="163"/>
      <c r="AK240" s="163"/>
      <c r="AL240" s="163"/>
      <c r="AM240" s="163"/>
      <c r="AN240" s="163"/>
      <c r="AO240" s="163"/>
      <c r="AP240" s="163"/>
      <c r="AQ240" s="163"/>
      <c r="AR240" s="163"/>
      <c r="AS240" s="163"/>
      <c r="AT240" s="163"/>
      <c r="AU240" s="163"/>
    </row>
    <row r="241" spans="1:47" ht="22.5" outlineLevel="1" x14ac:dyDescent="0.2">
      <c r="A241" s="164">
        <v>111</v>
      </c>
      <c r="B241" s="174" t="s">
        <v>430</v>
      </c>
      <c r="C241" s="197" t="s">
        <v>431</v>
      </c>
      <c r="D241" s="176" t="s">
        <v>146</v>
      </c>
      <c r="E241" s="180">
        <v>15</v>
      </c>
      <c r="F241" s="184">
        <v>0</v>
      </c>
      <c r="G241" s="185">
        <f>ROUND(E241*F241,2)</f>
        <v>0</v>
      </c>
      <c r="H241" s="185" t="s">
        <v>106</v>
      </c>
      <c r="I241" s="185" t="s">
        <v>133</v>
      </c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 t="s">
        <v>134</v>
      </c>
      <c r="U241" s="163"/>
      <c r="V241" s="163"/>
      <c r="W241" s="163"/>
      <c r="X241" s="163"/>
      <c r="Y241" s="163"/>
      <c r="Z241" s="163"/>
      <c r="AA241" s="163"/>
      <c r="AB241" s="163"/>
      <c r="AC241" s="163"/>
      <c r="AD241" s="163"/>
      <c r="AE241" s="163"/>
      <c r="AF241" s="163"/>
      <c r="AG241" s="163"/>
      <c r="AH241" s="163"/>
      <c r="AI241" s="163"/>
      <c r="AJ241" s="163"/>
      <c r="AK241" s="163"/>
      <c r="AL241" s="163"/>
      <c r="AM241" s="163"/>
      <c r="AN241" s="163"/>
      <c r="AO241" s="163"/>
      <c r="AP241" s="163"/>
      <c r="AQ241" s="163"/>
      <c r="AR241" s="163"/>
      <c r="AS241" s="163"/>
      <c r="AT241" s="163"/>
      <c r="AU241" s="163"/>
    </row>
    <row r="242" spans="1:47" ht="22.5" outlineLevel="1" x14ac:dyDescent="0.2">
      <c r="A242" s="164">
        <v>112</v>
      </c>
      <c r="B242" s="174" t="s">
        <v>432</v>
      </c>
      <c r="C242" s="197" t="s">
        <v>433</v>
      </c>
      <c r="D242" s="176" t="s">
        <v>146</v>
      </c>
      <c r="E242" s="180">
        <v>10</v>
      </c>
      <c r="F242" s="184">
        <v>0</v>
      </c>
      <c r="G242" s="185">
        <f>ROUND(E242*F242,2)</f>
        <v>0</v>
      </c>
      <c r="H242" s="185"/>
      <c r="I242" s="185" t="s">
        <v>180</v>
      </c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 t="s">
        <v>134</v>
      </c>
      <c r="U242" s="163"/>
      <c r="V242" s="163"/>
      <c r="W242" s="163"/>
      <c r="X242" s="163"/>
      <c r="Y242" s="163"/>
      <c r="Z242" s="163"/>
      <c r="AA242" s="163"/>
      <c r="AB242" s="163"/>
      <c r="AC242" s="163"/>
      <c r="AD242" s="163"/>
      <c r="AE242" s="163"/>
      <c r="AF242" s="163"/>
      <c r="AG242" s="163"/>
      <c r="AH242" s="163"/>
      <c r="AI242" s="163"/>
      <c r="AJ242" s="163"/>
      <c r="AK242" s="163"/>
      <c r="AL242" s="163"/>
      <c r="AM242" s="163"/>
      <c r="AN242" s="163"/>
      <c r="AO242" s="163"/>
      <c r="AP242" s="163"/>
      <c r="AQ242" s="163"/>
      <c r="AR242" s="163"/>
      <c r="AS242" s="163"/>
      <c r="AT242" s="163"/>
      <c r="AU242" s="163"/>
    </row>
    <row r="243" spans="1:47" outlineLevel="1" x14ac:dyDescent="0.2">
      <c r="A243" s="164"/>
      <c r="B243" s="174"/>
      <c r="C243" s="198" t="s">
        <v>413</v>
      </c>
      <c r="D243" s="177"/>
      <c r="E243" s="181">
        <v>10</v>
      </c>
      <c r="F243" s="185"/>
      <c r="G243" s="185"/>
      <c r="H243" s="185"/>
      <c r="I243" s="185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 t="s">
        <v>136</v>
      </c>
      <c r="U243" s="163">
        <v>0</v>
      </c>
      <c r="V243" s="163"/>
      <c r="W243" s="163"/>
      <c r="X243" s="163"/>
      <c r="Y243" s="163"/>
      <c r="Z243" s="163"/>
      <c r="AA243" s="163"/>
      <c r="AB243" s="163"/>
      <c r="AC243" s="163"/>
      <c r="AD243" s="163"/>
      <c r="AE243" s="163"/>
      <c r="AF243" s="163"/>
      <c r="AG243" s="163"/>
      <c r="AH243" s="163"/>
      <c r="AI243" s="163"/>
      <c r="AJ243" s="163"/>
      <c r="AK243" s="163"/>
      <c r="AL243" s="163"/>
      <c r="AM243" s="163"/>
      <c r="AN243" s="163"/>
      <c r="AO243" s="163"/>
      <c r="AP243" s="163"/>
      <c r="AQ243" s="163"/>
      <c r="AR243" s="163"/>
      <c r="AS243" s="163"/>
      <c r="AT243" s="163"/>
      <c r="AU243" s="163"/>
    </row>
    <row r="244" spans="1:47" ht="22.5" outlineLevel="1" x14ac:dyDescent="0.2">
      <c r="A244" s="164">
        <v>113</v>
      </c>
      <c r="B244" s="174" t="s">
        <v>434</v>
      </c>
      <c r="C244" s="197" t="s">
        <v>435</v>
      </c>
      <c r="D244" s="176" t="s">
        <v>146</v>
      </c>
      <c r="E244" s="180">
        <v>10</v>
      </c>
      <c r="F244" s="184">
        <v>0</v>
      </c>
      <c r="G244" s="185">
        <f>ROUND(E244*F244,2)</f>
        <v>0</v>
      </c>
      <c r="H244" s="185"/>
      <c r="I244" s="185" t="s">
        <v>180</v>
      </c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 t="s">
        <v>134</v>
      </c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/>
      <c r="AF244" s="163"/>
      <c r="AG244" s="163"/>
      <c r="AH244" s="163"/>
      <c r="AI244" s="163"/>
      <c r="AJ244" s="163"/>
      <c r="AK244" s="163"/>
      <c r="AL244" s="163"/>
      <c r="AM244" s="163"/>
      <c r="AN244" s="163"/>
      <c r="AO244" s="163"/>
      <c r="AP244" s="163"/>
      <c r="AQ244" s="163"/>
      <c r="AR244" s="163"/>
      <c r="AS244" s="163"/>
      <c r="AT244" s="163"/>
      <c r="AU244" s="163"/>
    </row>
    <row r="245" spans="1:47" outlineLevel="1" x14ac:dyDescent="0.2">
      <c r="A245" s="164"/>
      <c r="B245" s="174"/>
      <c r="C245" s="198" t="s">
        <v>413</v>
      </c>
      <c r="D245" s="177"/>
      <c r="E245" s="181">
        <v>10</v>
      </c>
      <c r="F245" s="185"/>
      <c r="G245" s="185"/>
      <c r="H245" s="185"/>
      <c r="I245" s="185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 t="s">
        <v>136</v>
      </c>
      <c r="U245" s="163">
        <v>0</v>
      </c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/>
      <c r="AF245" s="163"/>
      <c r="AG245" s="163"/>
      <c r="AH245" s="163"/>
      <c r="AI245" s="163"/>
      <c r="AJ245" s="163"/>
      <c r="AK245" s="163"/>
      <c r="AL245" s="163"/>
      <c r="AM245" s="163"/>
      <c r="AN245" s="163"/>
      <c r="AO245" s="163"/>
      <c r="AP245" s="163"/>
      <c r="AQ245" s="163"/>
      <c r="AR245" s="163"/>
      <c r="AS245" s="163"/>
      <c r="AT245" s="163"/>
      <c r="AU245" s="163"/>
    </row>
    <row r="246" spans="1:47" ht="22.5" outlineLevel="1" x14ac:dyDescent="0.2">
      <c r="A246" s="164">
        <v>114</v>
      </c>
      <c r="B246" s="174" t="s">
        <v>436</v>
      </c>
      <c r="C246" s="197" t="s">
        <v>437</v>
      </c>
      <c r="D246" s="176" t="s">
        <v>146</v>
      </c>
      <c r="E246" s="180">
        <v>10</v>
      </c>
      <c r="F246" s="184">
        <v>0</v>
      </c>
      <c r="G246" s="185">
        <f>ROUND(E246*F246,2)</f>
        <v>0</v>
      </c>
      <c r="H246" s="185"/>
      <c r="I246" s="185" t="s">
        <v>180</v>
      </c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 t="s">
        <v>134</v>
      </c>
      <c r="U246" s="163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/>
      <c r="AF246" s="163"/>
      <c r="AG246" s="163"/>
      <c r="AH246" s="163"/>
      <c r="AI246" s="163"/>
      <c r="AJ246" s="163"/>
      <c r="AK246" s="163"/>
      <c r="AL246" s="163"/>
      <c r="AM246" s="163"/>
      <c r="AN246" s="163"/>
      <c r="AO246" s="163"/>
      <c r="AP246" s="163"/>
      <c r="AQ246" s="163"/>
      <c r="AR246" s="163"/>
      <c r="AS246" s="163"/>
      <c r="AT246" s="163"/>
      <c r="AU246" s="163"/>
    </row>
    <row r="247" spans="1:47" outlineLevel="1" x14ac:dyDescent="0.2">
      <c r="A247" s="164"/>
      <c r="B247" s="174"/>
      <c r="C247" s="198" t="s">
        <v>413</v>
      </c>
      <c r="D247" s="177"/>
      <c r="E247" s="181">
        <v>10</v>
      </c>
      <c r="F247" s="185"/>
      <c r="G247" s="185"/>
      <c r="H247" s="185"/>
      <c r="I247" s="185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 t="s">
        <v>136</v>
      </c>
      <c r="U247" s="163">
        <v>0</v>
      </c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/>
      <c r="AF247" s="163"/>
      <c r="AG247" s="163"/>
      <c r="AH247" s="163"/>
      <c r="AI247" s="163"/>
      <c r="AJ247" s="163"/>
      <c r="AK247" s="163"/>
      <c r="AL247" s="163"/>
      <c r="AM247" s="163"/>
      <c r="AN247" s="163"/>
      <c r="AO247" s="163"/>
      <c r="AP247" s="163"/>
      <c r="AQ247" s="163"/>
      <c r="AR247" s="163"/>
      <c r="AS247" s="163"/>
      <c r="AT247" s="163"/>
      <c r="AU247" s="163"/>
    </row>
    <row r="248" spans="1:47" ht="22.5" outlineLevel="1" x14ac:dyDescent="0.2">
      <c r="A248" s="164">
        <v>115</v>
      </c>
      <c r="B248" s="174" t="s">
        <v>438</v>
      </c>
      <c r="C248" s="197" t="s">
        <v>439</v>
      </c>
      <c r="D248" s="176" t="s">
        <v>146</v>
      </c>
      <c r="E248" s="180">
        <v>10</v>
      </c>
      <c r="F248" s="184">
        <v>0</v>
      </c>
      <c r="G248" s="185">
        <f>ROUND(E248*F248,2)</f>
        <v>0</v>
      </c>
      <c r="H248" s="185"/>
      <c r="I248" s="185" t="s">
        <v>180</v>
      </c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 t="s">
        <v>134</v>
      </c>
      <c r="U248" s="163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/>
      <c r="AF248" s="163"/>
      <c r="AG248" s="163"/>
      <c r="AH248" s="163"/>
      <c r="AI248" s="163"/>
      <c r="AJ248" s="163"/>
      <c r="AK248" s="163"/>
      <c r="AL248" s="163"/>
      <c r="AM248" s="163"/>
      <c r="AN248" s="163"/>
      <c r="AO248" s="163"/>
      <c r="AP248" s="163"/>
      <c r="AQ248" s="163"/>
      <c r="AR248" s="163"/>
      <c r="AS248" s="163"/>
      <c r="AT248" s="163"/>
      <c r="AU248" s="163"/>
    </row>
    <row r="249" spans="1:47" outlineLevel="1" x14ac:dyDescent="0.2">
      <c r="A249" s="164"/>
      <c r="B249" s="174"/>
      <c r="C249" s="198" t="s">
        <v>413</v>
      </c>
      <c r="D249" s="177"/>
      <c r="E249" s="181">
        <v>10</v>
      </c>
      <c r="F249" s="185"/>
      <c r="G249" s="185"/>
      <c r="H249" s="185"/>
      <c r="I249" s="185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 t="s">
        <v>136</v>
      </c>
      <c r="U249" s="163">
        <v>0</v>
      </c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/>
      <c r="AF249" s="163"/>
      <c r="AG249" s="163"/>
      <c r="AH249" s="163"/>
      <c r="AI249" s="163"/>
      <c r="AJ249" s="163"/>
      <c r="AK249" s="163"/>
      <c r="AL249" s="163"/>
      <c r="AM249" s="163"/>
      <c r="AN249" s="163"/>
      <c r="AO249" s="163"/>
      <c r="AP249" s="163"/>
      <c r="AQ249" s="163"/>
      <c r="AR249" s="163"/>
      <c r="AS249" s="163"/>
      <c r="AT249" s="163"/>
      <c r="AU249" s="163"/>
    </row>
    <row r="250" spans="1:47" ht="22.5" outlineLevel="1" x14ac:dyDescent="0.2">
      <c r="A250" s="164">
        <v>116</v>
      </c>
      <c r="B250" s="174" t="s">
        <v>440</v>
      </c>
      <c r="C250" s="197" t="s">
        <v>441</v>
      </c>
      <c r="D250" s="176" t="s">
        <v>146</v>
      </c>
      <c r="E250" s="180">
        <v>10</v>
      </c>
      <c r="F250" s="184">
        <v>0</v>
      </c>
      <c r="G250" s="185">
        <f>ROUND(E250*F250,2)</f>
        <v>0</v>
      </c>
      <c r="H250" s="185"/>
      <c r="I250" s="185" t="s">
        <v>180</v>
      </c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 t="s">
        <v>134</v>
      </c>
      <c r="U250" s="163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/>
      <c r="AF250" s="163"/>
      <c r="AG250" s="163"/>
      <c r="AH250" s="163"/>
      <c r="AI250" s="163"/>
      <c r="AJ250" s="163"/>
      <c r="AK250" s="163"/>
      <c r="AL250" s="163"/>
      <c r="AM250" s="163"/>
      <c r="AN250" s="163"/>
      <c r="AO250" s="163"/>
      <c r="AP250" s="163"/>
      <c r="AQ250" s="163"/>
      <c r="AR250" s="163"/>
      <c r="AS250" s="163"/>
      <c r="AT250" s="163"/>
      <c r="AU250" s="163"/>
    </row>
    <row r="251" spans="1:47" outlineLevel="1" x14ac:dyDescent="0.2">
      <c r="A251" s="164"/>
      <c r="B251" s="174"/>
      <c r="C251" s="198" t="s">
        <v>413</v>
      </c>
      <c r="D251" s="177"/>
      <c r="E251" s="181">
        <v>10</v>
      </c>
      <c r="F251" s="185"/>
      <c r="G251" s="185"/>
      <c r="H251" s="185"/>
      <c r="I251" s="185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 t="s">
        <v>136</v>
      </c>
      <c r="U251" s="163">
        <v>0</v>
      </c>
      <c r="V251" s="163"/>
      <c r="W251" s="163"/>
      <c r="X251" s="163"/>
      <c r="Y251" s="163"/>
      <c r="Z251" s="163"/>
      <c r="AA251" s="163"/>
      <c r="AB251" s="163"/>
      <c r="AC251" s="163"/>
      <c r="AD251" s="163"/>
      <c r="AE251" s="163"/>
      <c r="AF251" s="163"/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</row>
    <row r="252" spans="1:47" outlineLevel="1" x14ac:dyDescent="0.2">
      <c r="A252" s="164">
        <v>117</v>
      </c>
      <c r="B252" s="174" t="s">
        <v>442</v>
      </c>
      <c r="C252" s="197" t="s">
        <v>443</v>
      </c>
      <c r="D252" s="176" t="s">
        <v>185</v>
      </c>
      <c r="E252" s="180">
        <v>1</v>
      </c>
      <c r="F252" s="184">
        <v>0</v>
      </c>
      <c r="G252" s="185">
        <f t="shared" ref="G252:G264" si="5">ROUND(E252*F252,2)</f>
        <v>0</v>
      </c>
      <c r="H252" s="185"/>
      <c r="I252" s="185" t="s">
        <v>180</v>
      </c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 t="s">
        <v>134</v>
      </c>
      <c r="U252" s="163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/>
      <c r="AF252" s="163"/>
      <c r="AG252" s="163"/>
      <c r="AH252" s="163"/>
      <c r="AI252" s="163"/>
      <c r="AJ252" s="163"/>
      <c r="AK252" s="163"/>
      <c r="AL252" s="163"/>
      <c r="AM252" s="163"/>
      <c r="AN252" s="163"/>
      <c r="AO252" s="163"/>
      <c r="AP252" s="163"/>
      <c r="AQ252" s="163"/>
      <c r="AR252" s="163"/>
      <c r="AS252" s="163"/>
      <c r="AT252" s="163"/>
      <c r="AU252" s="163"/>
    </row>
    <row r="253" spans="1:47" outlineLevel="1" x14ac:dyDescent="0.2">
      <c r="A253" s="164">
        <v>118</v>
      </c>
      <c r="B253" s="174" t="s">
        <v>444</v>
      </c>
      <c r="C253" s="197" t="s">
        <v>445</v>
      </c>
      <c r="D253" s="176" t="s">
        <v>185</v>
      </c>
      <c r="E253" s="180">
        <v>1</v>
      </c>
      <c r="F253" s="184">
        <v>0</v>
      </c>
      <c r="G253" s="185">
        <f t="shared" si="5"/>
        <v>0</v>
      </c>
      <c r="H253" s="185"/>
      <c r="I253" s="185" t="s">
        <v>180</v>
      </c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 t="s">
        <v>134</v>
      </c>
      <c r="U253" s="163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/>
      <c r="AF253" s="163"/>
      <c r="AG253" s="163"/>
      <c r="AH253" s="163"/>
      <c r="AI253" s="163"/>
      <c r="AJ253" s="163"/>
      <c r="AK253" s="163"/>
      <c r="AL253" s="163"/>
      <c r="AM253" s="163"/>
      <c r="AN253" s="163"/>
      <c r="AO253" s="163"/>
      <c r="AP253" s="163"/>
      <c r="AQ253" s="163"/>
      <c r="AR253" s="163"/>
      <c r="AS253" s="163"/>
      <c r="AT253" s="163"/>
      <c r="AU253" s="163"/>
    </row>
    <row r="254" spans="1:47" outlineLevel="1" x14ac:dyDescent="0.2">
      <c r="A254" s="164">
        <v>119</v>
      </c>
      <c r="B254" s="174" t="s">
        <v>446</v>
      </c>
      <c r="C254" s="197" t="s">
        <v>447</v>
      </c>
      <c r="D254" s="176" t="s">
        <v>146</v>
      </c>
      <c r="E254" s="180">
        <v>10</v>
      </c>
      <c r="F254" s="184">
        <v>0</v>
      </c>
      <c r="G254" s="185">
        <f t="shared" si="5"/>
        <v>0</v>
      </c>
      <c r="H254" s="185" t="s">
        <v>255</v>
      </c>
      <c r="I254" s="185" t="s">
        <v>133</v>
      </c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 t="s">
        <v>256</v>
      </c>
      <c r="U254" s="163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/>
      <c r="AF254" s="163"/>
      <c r="AG254" s="163"/>
      <c r="AH254" s="163"/>
      <c r="AI254" s="163"/>
      <c r="AJ254" s="163"/>
      <c r="AK254" s="163"/>
      <c r="AL254" s="163"/>
      <c r="AM254" s="163"/>
      <c r="AN254" s="163"/>
      <c r="AO254" s="163"/>
      <c r="AP254" s="163"/>
      <c r="AQ254" s="163"/>
      <c r="AR254" s="163"/>
      <c r="AS254" s="163"/>
      <c r="AT254" s="163"/>
      <c r="AU254" s="163"/>
    </row>
    <row r="255" spans="1:47" outlineLevel="1" x14ac:dyDescent="0.2">
      <c r="A255" s="164">
        <v>120</v>
      </c>
      <c r="B255" s="174" t="s">
        <v>448</v>
      </c>
      <c r="C255" s="197" t="s">
        <v>449</v>
      </c>
      <c r="D255" s="176" t="s">
        <v>146</v>
      </c>
      <c r="E255" s="180">
        <v>10</v>
      </c>
      <c r="F255" s="184">
        <v>0</v>
      </c>
      <c r="G255" s="185">
        <f t="shared" si="5"/>
        <v>0</v>
      </c>
      <c r="H255" s="185" t="s">
        <v>255</v>
      </c>
      <c r="I255" s="185" t="s">
        <v>133</v>
      </c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 t="s">
        <v>256</v>
      </c>
      <c r="U255" s="163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/>
      <c r="AF255" s="163"/>
      <c r="AG255" s="163"/>
      <c r="AH255" s="163"/>
      <c r="AI255" s="163"/>
      <c r="AJ255" s="163"/>
      <c r="AK255" s="163"/>
      <c r="AL255" s="163"/>
      <c r="AM255" s="163"/>
      <c r="AN255" s="163"/>
      <c r="AO255" s="163"/>
      <c r="AP255" s="163"/>
      <c r="AQ255" s="163"/>
      <c r="AR255" s="163"/>
      <c r="AS255" s="163"/>
      <c r="AT255" s="163"/>
      <c r="AU255" s="163"/>
    </row>
    <row r="256" spans="1:47" outlineLevel="1" x14ac:dyDescent="0.2">
      <c r="A256" s="164">
        <v>121</v>
      </c>
      <c r="B256" s="174" t="s">
        <v>450</v>
      </c>
      <c r="C256" s="197" t="s">
        <v>451</v>
      </c>
      <c r="D256" s="176" t="s">
        <v>146</v>
      </c>
      <c r="E256" s="180">
        <v>10</v>
      </c>
      <c r="F256" s="184">
        <v>0</v>
      </c>
      <c r="G256" s="185">
        <f t="shared" si="5"/>
        <v>0</v>
      </c>
      <c r="H256" s="185" t="s">
        <v>255</v>
      </c>
      <c r="I256" s="185" t="s">
        <v>133</v>
      </c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 t="s">
        <v>256</v>
      </c>
      <c r="U256" s="163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/>
      <c r="AF256" s="163"/>
      <c r="AG256" s="163"/>
      <c r="AH256" s="163"/>
      <c r="AI256" s="163"/>
      <c r="AJ256" s="163"/>
      <c r="AK256" s="163"/>
      <c r="AL256" s="163"/>
      <c r="AM256" s="163"/>
      <c r="AN256" s="163"/>
      <c r="AO256" s="163"/>
      <c r="AP256" s="163"/>
      <c r="AQ256" s="163"/>
      <c r="AR256" s="163"/>
      <c r="AS256" s="163"/>
      <c r="AT256" s="163"/>
      <c r="AU256" s="163"/>
    </row>
    <row r="257" spans="1:47" outlineLevel="1" x14ac:dyDescent="0.2">
      <c r="A257" s="164">
        <v>122</v>
      </c>
      <c r="B257" s="174" t="s">
        <v>452</v>
      </c>
      <c r="C257" s="197" t="s">
        <v>453</v>
      </c>
      <c r="D257" s="176" t="s">
        <v>146</v>
      </c>
      <c r="E257" s="180">
        <v>10</v>
      </c>
      <c r="F257" s="184">
        <v>0</v>
      </c>
      <c r="G257" s="185">
        <f t="shared" si="5"/>
        <v>0</v>
      </c>
      <c r="H257" s="185" t="s">
        <v>255</v>
      </c>
      <c r="I257" s="185" t="s">
        <v>133</v>
      </c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 t="s">
        <v>256</v>
      </c>
      <c r="U257" s="163"/>
      <c r="V257" s="163"/>
      <c r="W257" s="163"/>
      <c r="X257" s="163"/>
      <c r="Y257" s="163"/>
      <c r="Z257" s="163"/>
      <c r="AA257" s="163"/>
      <c r="AB257" s="163"/>
      <c r="AC257" s="163"/>
      <c r="AD257" s="163"/>
      <c r="AE257" s="163"/>
      <c r="AF257" s="163"/>
      <c r="AG257" s="163"/>
      <c r="AH257" s="163"/>
      <c r="AI257" s="163"/>
      <c r="AJ257" s="163"/>
      <c r="AK257" s="163"/>
      <c r="AL257" s="163"/>
      <c r="AM257" s="163"/>
      <c r="AN257" s="163"/>
      <c r="AO257" s="163"/>
      <c r="AP257" s="163"/>
      <c r="AQ257" s="163"/>
      <c r="AR257" s="163"/>
      <c r="AS257" s="163"/>
      <c r="AT257" s="163"/>
      <c r="AU257" s="163"/>
    </row>
    <row r="258" spans="1:47" outlineLevel="1" x14ac:dyDescent="0.2">
      <c r="A258" s="164">
        <v>123</v>
      </c>
      <c r="B258" s="174" t="s">
        <v>454</v>
      </c>
      <c r="C258" s="197" t="s">
        <v>455</v>
      </c>
      <c r="D258" s="176" t="s">
        <v>197</v>
      </c>
      <c r="E258" s="180">
        <v>2</v>
      </c>
      <c r="F258" s="184">
        <v>0</v>
      </c>
      <c r="G258" s="185">
        <f t="shared" si="5"/>
        <v>0</v>
      </c>
      <c r="H258" s="185" t="s">
        <v>255</v>
      </c>
      <c r="I258" s="185" t="s">
        <v>133</v>
      </c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 t="s">
        <v>256</v>
      </c>
      <c r="U258" s="163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/>
      <c r="AF258" s="163"/>
      <c r="AG258" s="163"/>
      <c r="AH258" s="163"/>
      <c r="AI258" s="163"/>
      <c r="AJ258" s="163"/>
      <c r="AK258" s="163"/>
      <c r="AL258" s="163"/>
      <c r="AM258" s="163"/>
      <c r="AN258" s="163"/>
      <c r="AO258" s="163"/>
      <c r="AP258" s="163"/>
      <c r="AQ258" s="163"/>
      <c r="AR258" s="163"/>
      <c r="AS258" s="163"/>
      <c r="AT258" s="163"/>
      <c r="AU258" s="163"/>
    </row>
    <row r="259" spans="1:47" outlineLevel="1" x14ac:dyDescent="0.2">
      <c r="A259" s="164">
        <v>124</v>
      </c>
      <c r="B259" s="174" t="s">
        <v>456</v>
      </c>
      <c r="C259" s="197" t="s">
        <v>457</v>
      </c>
      <c r="D259" s="176" t="s">
        <v>197</v>
      </c>
      <c r="E259" s="180">
        <v>13</v>
      </c>
      <c r="F259" s="184">
        <v>0</v>
      </c>
      <c r="G259" s="185">
        <f t="shared" si="5"/>
        <v>0</v>
      </c>
      <c r="H259" s="185" t="s">
        <v>255</v>
      </c>
      <c r="I259" s="185" t="s">
        <v>133</v>
      </c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 t="s">
        <v>256</v>
      </c>
      <c r="U259" s="163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/>
      <c r="AF259" s="163"/>
      <c r="AG259" s="163"/>
      <c r="AH259" s="163"/>
      <c r="AI259" s="163"/>
      <c r="AJ259" s="163"/>
      <c r="AK259" s="163"/>
      <c r="AL259" s="163"/>
      <c r="AM259" s="163"/>
      <c r="AN259" s="163"/>
      <c r="AO259" s="163"/>
      <c r="AP259" s="163"/>
      <c r="AQ259" s="163"/>
      <c r="AR259" s="163"/>
      <c r="AS259" s="163"/>
      <c r="AT259" s="163"/>
      <c r="AU259" s="163"/>
    </row>
    <row r="260" spans="1:47" outlineLevel="1" x14ac:dyDescent="0.2">
      <c r="A260" s="164">
        <v>125</v>
      </c>
      <c r="B260" s="174" t="s">
        <v>458</v>
      </c>
      <c r="C260" s="197" t="s">
        <v>459</v>
      </c>
      <c r="D260" s="176" t="s">
        <v>197</v>
      </c>
      <c r="E260" s="180">
        <v>2</v>
      </c>
      <c r="F260" s="184">
        <v>0</v>
      </c>
      <c r="G260" s="185">
        <f t="shared" si="5"/>
        <v>0</v>
      </c>
      <c r="H260" s="185" t="s">
        <v>255</v>
      </c>
      <c r="I260" s="185" t="s">
        <v>133</v>
      </c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 t="s">
        <v>256</v>
      </c>
      <c r="U260" s="163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/>
      <c r="AF260" s="163"/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</row>
    <row r="261" spans="1:47" outlineLevel="1" x14ac:dyDescent="0.2">
      <c r="A261" s="164">
        <v>126</v>
      </c>
      <c r="B261" s="174" t="s">
        <v>460</v>
      </c>
      <c r="C261" s="197" t="s">
        <v>461</v>
      </c>
      <c r="D261" s="176" t="s">
        <v>146</v>
      </c>
      <c r="E261" s="180">
        <v>22</v>
      </c>
      <c r="F261" s="184">
        <v>0</v>
      </c>
      <c r="G261" s="185">
        <f t="shared" si="5"/>
        <v>0</v>
      </c>
      <c r="H261" s="185" t="s">
        <v>255</v>
      </c>
      <c r="I261" s="185" t="s">
        <v>133</v>
      </c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 t="s">
        <v>256</v>
      </c>
      <c r="U261" s="163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/>
      <c r="AF261" s="163"/>
      <c r="AG261" s="163"/>
      <c r="AH261" s="163"/>
      <c r="AI261" s="163"/>
      <c r="AJ261" s="163"/>
      <c r="AK261" s="163"/>
      <c r="AL261" s="163"/>
      <c r="AM261" s="163"/>
      <c r="AN261" s="163"/>
      <c r="AO261" s="163"/>
      <c r="AP261" s="163"/>
      <c r="AQ261" s="163"/>
      <c r="AR261" s="163"/>
      <c r="AS261" s="163"/>
      <c r="AT261" s="163"/>
      <c r="AU261" s="163"/>
    </row>
    <row r="262" spans="1:47" outlineLevel="1" x14ac:dyDescent="0.2">
      <c r="A262" s="164">
        <v>127</v>
      </c>
      <c r="B262" s="174" t="s">
        <v>462</v>
      </c>
      <c r="C262" s="197" t="s">
        <v>463</v>
      </c>
      <c r="D262" s="176" t="s">
        <v>197</v>
      </c>
      <c r="E262" s="180">
        <v>8</v>
      </c>
      <c r="F262" s="184">
        <v>0</v>
      </c>
      <c r="G262" s="185">
        <f t="shared" si="5"/>
        <v>0</v>
      </c>
      <c r="H262" s="185" t="s">
        <v>255</v>
      </c>
      <c r="I262" s="185" t="s">
        <v>133</v>
      </c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 t="s">
        <v>256</v>
      </c>
      <c r="U262" s="163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/>
      <c r="AF262" s="163"/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</row>
    <row r="263" spans="1:47" outlineLevel="1" x14ac:dyDescent="0.2">
      <c r="A263" s="164">
        <v>128</v>
      </c>
      <c r="B263" s="174" t="s">
        <v>464</v>
      </c>
      <c r="C263" s="197" t="s">
        <v>465</v>
      </c>
      <c r="D263" s="176" t="s">
        <v>197</v>
      </c>
      <c r="E263" s="180">
        <v>2</v>
      </c>
      <c r="F263" s="184">
        <v>0</v>
      </c>
      <c r="G263" s="185">
        <f t="shared" si="5"/>
        <v>0</v>
      </c>
      <c r="H263" s="185" t="s">
        <v>255</v>
      </c>
      <c r="I263" s="185" t="s">
        <v>133</v>
      </c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 t="s">
        <v>256</v>
      </c>
      <c r="U263" s="163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/>
      <c r="AF263" s="163"/>
      <c r="AG263" s="163"/>
      <c r="AH263" s="163"/>
      <c r="AI263" s="163"/>
      <c r="AJ263" s="163"/>
      <c r="AK263" s="163"/>
      <c r="AL263" s="163"/>
      <c r="AM263" s="163"/>
      <c r="AN263" s="163"/>
      <c r="AO263" s="163"/>
      <c r="AP263" s="163"/>
      <c r="AQ263" s="163"/>
      <c r="AR263" s="163"/>
      <c r="AS263" s="163"/>
      <c r="AT263" s="163"/>
      <c r="AU263" s="163"/>
    </row>
    <row r="264" spans="1:47" outlineLevel="1" x14ac:dyDescent="0.2">
      <c r="A264" s="164">
        <v>129</v>
      </c>
      <c r="B264" s="174" t="s">
        <v>466</v>
      </c>
      <c r="C264" s="197" t="s">
        <v>467</v>
      </c>
      <c r="D264" s="176" t="s">
        <v>197</v>
      </c>
      <c r="E264" s="180">
        <v>14</v>
      </c>
      <c r="F264" s="184">
        <v>0</v>
      </c>
      <c r="G264" s="185">
        <f t="shared" si="5"/>
        <v>0</v>
      </c>
      <c r="H264" s="185" t="s">
        <v>255</v>
      </c>
      <c r="I264" s="185" t="s">
        <v>133</v>
      </c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 t="s">
        <v>256</v>
      </c>
      <c r="U264" s="163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/>
      <c r="AF264" s="163"/>
      <c r="AG264" s="163"/>
      <c r="AH264" s="163"/>
      <c r="AI264" s="163"/>
      <c r="AJ264" s="163"/>
      <c r="AK264" s="163"/>
      <c r="AL264" s="163"/>
      <c r="AM264" s="163"/>
      <c r="AN264" s="163"/>
      <c r="AO264" s="163"/>
      <c r="AP264" s="163"/>
      <c r="AQ264" s="163"/>
      <c r="AR264" s="163"/>
      <c r="AS264" s="163"/>
      <c r="AT264" s="163"/>
      <c r="AU264" s="163"/>
    </row>
    <row r="265" spans="1:47" x14ac:dyDescent="0.2">
      <c r="A265" s="170" t="s">
        <v>127</v>
      </c>
      <c r="B265" s="175" t="s">
        <v>108</v>
      </c>
      <c r="C265" s="199" t="s">
        <v>109</v>
      </c>
      <c r="D265" s="178"/>
      <c r="E265" s="182"/>
      <c r="F265" s="186"/>
      <c r="G265" s="186">
        <f>SUMIF(T266:T269,"&lt;&gt;NOR",G266:G269)</f>
        <v>0</v>
      </c>
      <c r="H265" s="186"/>
      <c r="I265" s="186"/>
      <c r="T265" t="s">
        <v>128</v>
      </c>
    </row>
    <row r="266" spans="1:47" ht="22.5" outlineLevel="1" x14ac:dyDescent="0.2">
      <c r="A266" s="164">
        <v>130</v>
      </c>
      <c r="B266" s="174" t="s">
        <v>468</v>
      </c>
      <c r="C266" s="197" t="s">
        <v>469</v>
      </c>
      <c r="D266" s="176" t="s">
        <v>146</v>
      </c>
      <c r="E266" s="180">
        <v>32</v>
      </c>
      <c r="F266" s="184">
        <v>0</v>
      </c>
      <c r="G266" s="185">
        <f>ROUND(E266*F266,2)</f>
        <v>0</v>
      </c>
      <c r="H266" s="185" t="s">
        <v>108</v>
      </c>
      <c r="I266" s="185" t="s">
        <v>133</v>
      </c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 t="s">
        <v>134</v>
      </c>
      <c r="U266" s="163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/>
      <c r="AF266" s="163"/>
      <c r="AG266" s="163"/>
      <c r="AH266" s="163"/>
      <c r="AI266" s="163"/>
      <c r="AJ266" s="163"/>
      <c r="AK266" s="163"/>
      <c r="AL266" s="163"/>
      <c r="AM266" s="163"/>
      <c r="AN266" s="163"/>
      <c r="AO266" s="163"/>
      <c r="AP266" s="163"/>
      <c r="AQ266" s="163"/>
      <c r="AR266" s="163"/>
      <c r="AS266" s="163"/>
      <c r="AT266" s="163"/>
      <c r="AU266" s="163"/>
    </row>
    <row r="267" spans="1:47" ht="22.5" outlineLevel="1" x14ac:dyDescent="0.2">
      <c r="A267" s="164">
        <v>131</v>
      </c>
      <c r="B267" s="174" t="s">
        <v>470</v>
      </c>
      <c r="C267" s="197" t="s">
        <v>471</v>
      </c>
      <c r="D267" s="176" t="s">
        <v>146</v>
      </c>
      <c r="E267" s="180">
        <v>8</v>
      </c>
      <c r="F267" s="184">
        <v>0</v>
      </c>
      <c r="G267" s="185">
        <f>ROUND(E267*F267,2)</f>
        <v>0</v>
      </c>
      <c r="H267" s="185" t="s">
        <v>108</v>
      </c>
      <c r="I267" s="185" t="s">
        <v>133</v>
      </c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 t="s">
        <v>134</v>
      </c>
      <c r="U267" s="163"/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/>
      <c r="AF267" s="163"/>
      <c r="AG267" s="163"/>
      <c r="AH267" s="163"/>
      <c r="AI267" s="163"/>
      <c r="AJ267" s="163"/>
      <c r="AK267" s="163"/>
      <c r="AL267" s="163"/>
      <c r="AM267" s="163"/>
      <c r="AN267" s="163"/>
      <c r="AO267" s="163"/>
      <c r="AP267" s="163"/>
      <c r="AQ267" s="163"/>
      <c r="AR267" s="163"/>
      <c r="AS267" s="163"/>
      <c r="AT267" s="163"/>
      <c r="AU267" s="163"/>
    </row>
    <row r="268" spans="1:47" ht="22.5" outlineLevel="1" x14ac:dyDescent="0.2">
      <c r="A268" s="164">
        <v>132</v>
      </c>
      <c r="B268" s="174" t="s">
        <v>472</v>
      </c>
      <c r="C268" s="197" t="s">
        <v>473</v>
      </c>
      <c r="D268" s="176" t="s">
        <v>146</v>
      </c>
      <c r="E268" s="180">
        <v>8</v>
      </c>
      <c r="F268" s="184">
        <v>0</v>
      </c>
      <c r="G268" s="185">
        <f>ROUND(E268*F268,2)</f>
        <v>0</v>
      </c>
      <c r="H268" s="185" t="s">
        <v>108</v>
      </c>
      <c r="I268" s="185" t="s">
        <v>133</v>
      </c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 t="s">
        <v>134</v>
      </c>
      <c r="U268" s="163"/>
      <c r="V268" s="163"/>
      <c r="W268" s="163"/>
      <c r="X268" s="163"/>
      <c r="Y268" s="163"/>
      <c r="Z268" s="163"/>
      <c r="AA268" s="163"/>
      <c r="AB268" s="163"/>
      <c r="AC268" s="163"/>
      <c r="AD268" s="163"/>
      <c r="AE268" s="163"/>
      <c r="AF268" s="163"/>
      <c r="AG268" s="163"/>
      <c r="AH268" s="163"/>
      <c r="AI268" s="163"/>
      <c r="AJ268" s="163"/>
      <c r="AK268" s="163"/>
      <c r="AL268" s="163"/>
      <c r="AM268" s="163"/>
      <c r="AN268" s="163"/>
      <c r="AO268" s="163"/>
      <c r="AP268" s="163"/>
      <c r="AQ268" s="163"/>
      <c r="AR268" s="163"/>
      <c r="AS268" s="163"/>
      <c r="AT268" s="163"/>
      <c r="AU268" s="163"/>
    </row>
    <row r="269" spans="1:47" ht="22.5" outlineLevel="1" x14ac:dyDescent="0.2">
      <c r="A269" s="164">
        <v>133</v>
      </c>
      <c r="B269" s="174" t="s">
        <v>474</v>
      </c>
      <c r="C269" s="197" t="s">
        <v>475</v>
      </c>
      <c r="D269" s="176" t="s">
        <v>185</v>
      </c>
      <c r="E269" s="180">
        <v>1</v>
      </c>
      <c r="F269" s="184">
        <v>0</v>
      </c>
      <c r="G269" s="185">
        <f>ROUND(E269*F269,2)</f>
        <v>0</v>
      </c>
      <c r="H269" s="185"/>
      <c r="I269" s="185" t="s">
        <v>180</v>
      </c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 t="s">
        <v>134</v>
      </c>
      <c r="U269" s="163"/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/>
      <c r="AF269" s="163"/>
      <c r="AG269" s="163"/>
      <c r="AH269" s="163"/>
      <c r="AI269" s="163"/>
      <c r="AJ269" s="163"/>
      <c r="AK269" s="163"/>
      <c r="AL269" s="163"/>
      <c r="AM269" s="163"/>
      <c r="AN269" s="163"/>
      <c r="AO269" s="163"/>
      <c r="AP269" s="163"/>
      <c r="AQ269" s="163"/>
      <c r="AR269" s="163"/>
      <c r="AS269" s="163"/>
      <c r="AT269" s="163"/>
      <c r="AU269" s="163"/>
    </row>
    <row r="270" spans="1:47" x14ac:dyDescent="0.2">
      <c r="A270" s="170" t="s">
        <v>127</v>
      </c>
      <c r="B270" s="175" t="s">
        <v>110</v>
      </c>
      <c r="C270" s="199" t="s">
        <v>111</v>
      </c>
      <c r="D270" s="178"/>
      <c r="E270" s="182"/>
      <c r="F270" s="186"/>
      <c r="G270" s="186">
        <f>SUMIF(T271:T275,"&lt;&gt;NOR",G271:G275)</f>
        <v>0</v>
      </c>
      <c r="H270" s="186"/>
      <c r="I270" s="186"/>
      <c r="T270" t="s">
        <v>128</v>
      </c>
    </row>
    <row r="271" spans="1:47" outlineLevel="1" x14ac:dyDescent="0.2">
      <c r="A271" s="164">
        <v>134</v>
      </c>
      <c r="B271" s="174" t="s">
        <v>476</v>
      </c>
      <c r="C271" s="197" t="s">
        <v>477</v>
      </c>
      <c r="D271" s="176" t="s">
        <v>176</v>
      </c>
      <c r="E271" s="180">
        <v>34.605069999999998</v>
      </c>
      <c r="F271" s="184">
        <v>0</v>
      </c>
      <c r="G271" s="185">
        <f>ROUND(E271*F271,2)</f>
        <v>0</v>
      </c>
      <c r="H271" s="185" t="s">
        <v>478</v>
      </c>
      <c r="I271" s="185" t="s">
        <v>133</v>
      </c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 t="s">
        <v>479</v>
      </c>
      <c r="U271" s="163"/>
      <c r="V271" s="163"/>
      <c r="W271" s="163"/>
      <c r="X271" s="163"/>
      <c r="Y271" s="163"/>
      <c r="Z271" s="163"/>
      <c r="AA271" s="163"/>
      <c r="AB271" s="163"/>
      <c r="AC271" s="163"/>
      <c r="AD271" s="163"/>
      <c r="AE271" s="163"/>
      <c r="AF271" s="163"/>
      <c r="AG271" s="163"/>
      <c r="AH271" s="163"/>
      <c r="AI271" s="163"/>
      <c r="AJ271" s="163"/>
      <c r="AK271" s="163"/>
      <c r="AL271" s="163"/>
      <c r="AM271" s="163"/>
      <c r="AN271" s="163"/>
      <c r="AO271" s="163"/>
      <c r="AP271" s="163"/>
      <c r="AQ271" s="163"/>
      <c r="AR271" s="163"/>
      <c r="AS271" s="163"/>
      <c r="AT271" s="163"/>
      <c r="AU271" s="163"/>
    </row>
    <row r="272" spans="1:47" outlineLevel="1" x14ac:dyDescent="0.2">
      <c r="A272" s="164">
        <v>135</v>
      </c>
      <c r="B272" s="174" t="s">
        <v>480</v>
      </c>
      <c r="C272" s="197" t="s">
        <v>481</v>
      </c>
      <c r="D272" s="176" t="s">
        <v>176</v>
      </c>
      <c r="E272" s="180">
        <v>34.605069999999998</v>
      </c>
      <c r="F272" s="184">
        <v>0</v>
      </c>
      <c r="G272" s="185">
        <f>ROUND(E272*F272,2)</f>
        <v>0</v>
      </c>
      <c r="H272" s="185" t="s">
        <v>202</v>
      </c>
      <c r="I272" s="185" t="s">
        <v>133</v>
      </c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 t="s">
        <v>479</v>
      </c>
      <c r="U272" s="163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/>
      <c r="AF272" s="163"/>
      <c r="AG272" s="163"/>
      <c r="AH272" s="163"/>
      <c r="AI272" s="163"/>
      <c r="AJ272" s="163"/>
      <c r="AK272" s="163"/>
      <c r="AL272" s="163"/>
      <c r="AM272" s="163"/>
      <c r="AN272" s="163"/>
      <c r="AO272" s="163"/>
      <c r="AP272" s="163"/>
      <c r="AQ272" s="163"/>
      <c r="AR272" s="163"/>
      <c r="AS272" s="163"/>
      <c r="AT272" s="163"/>
      <c r="AU272" s="163"/>
    </row>
    <row r="273" spans="1:47" outlineLevel="1" x14ac:dyDescent="0.2">
      <c r="A273" s="164">
        <v>136</v>
      </c>
      <c r="B273" s="174" t="s">
        <v>482</v>
      </c>
      <c r="C273" s="197" t="s">
        <v>483</v>
      </c>
      <c r="D273" s="176" t="s">
        <v>176</v>
      </c>
      <c r="E273" s="180">
        <v>34.605069999999998</v>
      </c>
      <c r="F273" s="184">
        <v>0</v>
      </c>
      <c r="G273" s="185">
        <f>ROUND(E273*F273,2)</f>
        <v>0</v>
      </c>
      <c r="H273" s="185" t="s">
        <v>484</v>
      </c>
      <c r="I273" s="185" t="s">
        <v>133</v>
      </c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 t="s">
        <v>479</v>
      </c>
      <c r="U273" s="163"/>
      <c r="V273" s="163"/>
      <c r="W273" s="163"/>
      <c r="X273" s="163"/>
      <c r="Y273" s="163"/>
      <c r="Z273" s="163"/>
      <c r="AA273" s="163"/>
      <c r="AB273" s="163"/>
      <c r="AC273" s="163"/>
      <c r="AD273" s="163"/>
      <c r="AE273" s="163"/>
      <c r="AF273" s="163"/>
      <c r="AG273" s="163"/>
      <c r="AH273" s="163"/>
      <c r="AI273" s="163"/>
      <c r="AJ273" s="163"/>
      <c r="AK273" s="163"/>
      <c r="AL273" s="163"/>
      <c r="AM273" s="163"/>
      <c r="AN273" s="163"/>
      <c r="AO273" s="163"/>
      <c r="AP273" s="163"/>
      <c r="AQ273" s="163"/>
      <c r="AR273" s="163"/>
      <c r="AS273" s="163"/>
      <c r="AT273" s="163"/>
      <c r="AU273" s="163"/>
    </row>
    <row r="274" spans="1:47" outlineLevel="1" x14ac:dyDescent="0.2">
      <c r="A274" s="164">
        <v>137</v>
      </c>
      <c r="B274" s="174" t="s">
        <v>485</v>
      </c>
      <c r="C274" s="197" t="s">
        <v>486</v>
      </c>
      <c r="D274" s="176" t="s">
        <v>176</v>
      </c>
      <c r="E274" s="180">
        <v>34.605069999999998</v>
      </c>
      <c r="F274" s="184">
        <v>0</v>
      </c>
      <c r="G274" s="185">
        <f>ROUND(E274*F274,2)</f>
        <v>0</v>
      </c>
      <c r="H274" s="185" t="s">
        <v>202</v>
      </c>
      <c r="I274" s="185" t="s">
        <v>133</v>
      </c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 t="s">
        <v>479</v>
      </c>
      <c r="U274" s="163"/>
      <c r="V274" s="163"/>
      <c r="W274" s="163"/>
      <c r="X274" s="163"/>
      <c r="Y274" s="163"/>
      <c r="Z274" s="163"/>
      <c r="AA274" s="163"/>
      <c r="AB274" s="163"/>
      <c r="AC274" s="163"/>
      <c r="AD274" s="163"/>
      <c r="AE274" s="163"/>
      <c r="AF274" s="163"/>
      <c r="AG274" s="163"/>
      <c r="AH274" s="163"/>
      <c r="AI274" s="163"/>
      <c r="AJ274" s="163"/>
      <c r="AK274" s="163"/>
      <c r="AL274" s="163"/>
      <c r="AM274" s="163"/>
      <c r="AN274" s="163"/>
      <c r="AO274" s="163"/>
      <c r="AP274" s="163"/>
      <c r="AQ274" s="163"/>
      <c r="AR274" s="163"/>
      <c r="AS274" s="163"/>
      <c r="AT274" s="163"/>
      <c r="AU274" s="163"/>
    </row>
    <row r="275" spans="1:47" outlineLevel="1" x14ac:dyDescent="0.2">
      <c r="A275" s="164">
        <v>138</v>
      </c>
      <c r="B275" s="174" t="s">
        <v>487</v>
      </c>
      <c r="C275" s="197" t="s">
        <v>488</v>
      </c>
      <c r="D275" s="176" t="s">
        <v>176</v>
      </c>
      <c r="E275" s="180">
        <v>34.605069999999998</v>
      </c>
      <c r="F275" s="184">
        <v>0</v>
      </c>
      <c r="G275" s="185">
        <f>ROUND(E275*F275,2)</f>
        <v>0</v>
      </c>
      <c r="H275" s="185" t="s">
        <v>484</v>
      </c>
      <c r="I275" s="185" t="s">
        <v>133</v>
      </c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 t="s">
        <v>479</v>
      </c>
      <c r="U275" s="163"/>
      <c r="V275" s="163"/>
      <c r="W275" s="163"/>
      <c r="X275" s="163"/>
      <c r="Y275" s="163"/>
      <c r="Z275" s="163"/>
      <c r="AA275" s="163"/>
      <c r="AB275" s="163"/>
      <c r="AC275" s="163"/>
      <c r="AD275" s="163"/>
      <c r="AE275" s="163"/>
      <c r="AF275" s="163"/>
      <c r="AG275" s="163"/>
      <c r="AH275" s="163"/>
      <c r="AI275" s="163"/>
      <c r="AJ275" s="163"/>
      <c r="AK275" s="163"/>
      <c r="AL275" s="163"/>
      <c r="AM275" s="163"/>
      <c r="AN275" s="163"/>
      <c r="AO275" s="163"/>
      <c r="AP275" s="163"/>
      <c r="AQ275" s="163"/>
      <c r="AR275" s="163"/>
      <c r="AS275" s="163"/>
      <c r="AT275" s="163"/>
      <c r="AU275" s="163"/>
    </row>
    <row r="276" spans="1:47" x14ac:dyDescent="0.2">
      <c r="A276" s="170" t="s">
        <v>127</v>
      </c>
      <c r="B276" s="175" t="s">
        <v>113</v>
      </c>
      <c r="C276" s="199" t="s">
        <v>29</v>
      </c>
      <c r="D276" s="178"/>
      <c r="E276" s="182"/>
      <c r="F276" s="186"/>
      <c r="G276" s="186">
        <f>SUMIF(T277:T277,"&lt;&gt;NOR",G277:G277)</f>
        <v>0</v>
      </c>
      <c r="H276" s="186"/>
      <c r="I276" s="186"/>
      <c r="T276" t="s">
        <v>128</v>
      </c>
    </row>
    <row r="277" spans="1:47" outlineLevel="1" x14ac:dyDescent="0.2">
      <c r="A277" s="187">
        <v>139</v>
      </c>
      <c r="B277" s="188" t="s">
        <v>489</v>
      </c>
      <c r="C277" s="200" t="s">
        <v>490</v>
      </c>
      <c r="D277" s="189" t="s">
        <v>0</v>
      </c>
      <c r="E277" s="190">
        <v>1.97</v>
      </c>
      <c r="F277" s="208">
        <f>(G270+G265+G212+G204+G201+G191+G174+G157+G143+G137+G134+G132+G123+G109+G91+G82+G80+G61+G50+G47+G14+G10+G7)/100</f>
        <v>0</v>
      </c>
      <c r="G277" s="191">
        <f>ROUND(E277*F277,2)</f>
        <v>0</v>
      </c>
      <c r="H277" s="191" t="s">
        <v>491</v>
      </c>
      <c r="I277" s="191" t="s">
        <v>133</v>
      </c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 t="s">
        <v>492</v>
      </c>
      <c r="U277" s="163"/>
      <c r="V277" s="163"/>
      <c r="W277" s="163"/>
      <c r="X277" s="163"/>
      <c r="Y277" s="163"/>
      <c r="Z277" s="163"/>
      <c r="AA277" s="163"/>
      <c r="AB277" s="163"/>
      <c r="AC277" s="163"/>
      <c r="AD277" s="163"/>
      <c r="AE277" s="163"/>
      <c r="AF277" s="163"/>
      <c r="AG277" s="163"/>
      <c r="AH277" s="163"/>
      <c r="AI277" s="163"/>
      <c r="AJ277" s="163"/>
      <c r="AK277" s="163"/>
      <c r="AL277" s="163"/>
      <c r="AM277" s="163"/>
      <c r="AN277" s="163"/>
      <c r="AO277" s="163"/>
      <c r="AP277" s="163"/>
      <c r="AQ277" s="163"/>
      <c r="AR277" s="163"/>
      <c r="AS277" s="163"/>
      <c r="AT277" s="163"/>
      <c r="AU277" s="163"/>
    </row>
    <row r="278" spans="1:47" x14ac:dyDescent="0.2">
      <c r="A278" s="6"/>
      <c r="B278" s="7" t="s">
        <v>336</v>
      </c>
      <c r="C278" s="201" t="s">
        <v>336</v>
      </c>
      <c r="D278" s="9"/>
      <c r="E278" s="6"/>
      <c r="F278" s="6"/>
      <c r="G278" s="6"/>
      <c r="H278" s="6"/>
      <c r="I278" s="6"/>
      <c r="R278">
        <v>15</v>
      </c>
      <c r="S278">
        <v>21</v>
      </c>
    </row>
    <row r="279" spans="1:47" x14ac:dyDescent="0.2">
      <c r="A279" s="192"/>
      <c r="B279" s="193" t="s">
        <v>31</v>
      </c>
      <c r="C279" s="202" t="s">
        <v>336</v>
      </c>
      <c r="D279" s="194"/>
      <c r="E279" s="195"/>
      <c r="F279" s="195"/>
      <c r="G279" s="196">
        <f>G7+G10+G14+G47+G50+G61+G80+G82+G91+G109+G123+G132+G134+G137+G143+G157+G174+G191+G201+G204+G212+G265+G270+G276</f>
        <v>0</v>
      </c>
      <c r="H279" s="6"/>
      <c r="I279" s="6"/>
      <c r="R279" t="e">
        <f>SUMIF(#REF!,R278,G7:G277)</f>
        <v>#REF!</v>
      </c>
      <c r="S279" t="e">
        <f>SUMIF(#REF!,S278,G7:G277)</f>
        <v>#REF!</v>
      </c>
      <c r="T279" t="s">
        <v>493</v>
      </c>
    </row>
    <row r="280" spans="1:47" x14ac:dyDescent="0.2">
      <c r="A280" s="6"/>
      <c r="B280" s="7" t="s">
        <v>336</v>
      </c>
      <c r="C280" s="201" t="s">
        <v>336</v>
      </c>
      <c r="D280" s="9"/>
      <c r="E280" s="6"/>
      <c r="F280" s="6"/>
      <c r="G280" s="6"/>
      <c r="H280" s="6"/>
      <c r="I280" s="6"/>
    </row>
    <row r="281" spans="1:47" x14ac:dyDescent="0.2">
      <c r="A281" s="6"/>
      <c r="B281" s="7" t="s">
        <v>336</v>
      </c>
      <c r="C281" s="201" t="s">
        <v>336</v>
      </c>
      <c r="D281" s="9"/>
      <c r="E281" s="6"/>
      <c r="F281" s="6"/>
      <c r="G281" s="6"/>
      <c r="H281" s="6"/>
      <c r="I281" s="6"/>
    </row>
    <row r="282" spans="1:47" x14ac:dyDescent="0.2">
      <c r="A282" s="408" t="s">
        <v>494</v>
      </c>
      <c r="B282" s="408"/>
      <c r="C282" s="409"/>
      <c r="D282" s="9"/>
      <c r="E282" s="6"/>
      <c r="F282" s="6"/>
      <c r="G282" s="6"/>
      <c r="H282" s="6"/>
      <c r="I282" s="6"/>
    </row>
    <row r="283" spans="1:47" x14ac:dyDescent="0.2">
      <c r="A283" s="389"/>
      <c r="B283" s="390"/>
      <c r="C283" s="391"/>
      <c r="D283" s="390"/>
      <c r="E283" s="390"/>
      <c r="F283" s="390"/>
      <c r="G283" s="392"/>
      <c r="H283" s="6"/>
      <c r="I283" s="6"/>
      <c r="T283" t="s">
        <v>495</v>
      </c>
    </row>
    <row r="284" spans="1:47" x14ac:dyDescent="0.2">
      <c r="A284" s="393"/>
      <c r="B284" s="394"/>
      <c r="C284" s="395"/>
      <c r="D284" s="394"/>
      <c r="E284" s="394"/>
      <c r="F284" s="394"/>
      <c r="G284" s="396"/>
      <c r="H284" s="6"/>
      <c r="I284" s="6"/>
    </row>
    <row r="285" spans="1:47" x14ac:dyDescent="0.2">
      <c r="A285" s="393"/>
      <c r="B285" s="394"/>
      <c r="C285" s="395"/>
      <c r="D285" s="394"/>
      <c r="E285" s="394"/>
      <c r="F285" s="394"/>
      <c r="G285" s="396"/>
      <c r="H285" s="6"/>
      <c r="I285" s="6"/>
    </row>
    <row r="286" spans="1:47" x14ac:dyDescent="0.2">
      <c r="A286" s="393"/>
      <c r="B286" s="394"/>
      <c r="C286" s="395"/>
      <c r="D286" s="394"/>
      <c r="E286" s="394"/>
      <c r="F286" s="394"/>
      <c r="G286" s="396"/>
      <c r="H286" s="6"/>
      <c r="I286" s="6"/>
    </row>
    <row r="287" spans="1:47" x14ac:dyDescent="0.2">
      <c r="A287" s="397"/>
      <c r="B287" s="398"/>
      <c r="C287" s="399"/>
      <c r="D287" s="398"/>
      <c r="E287" s="398"/>
      <c r="F287" s="398"/>
      <c r="G287" s="400"/>
      <c r="H287" s="6"/>
      <c r="I287" s="6"/>
    </row>
    <row r="288" spans="1:47" x14ac:dyDescent="0.2">
      <c r="A288" s="6"/>
      <c r="B288" s="7" t="s">
        <v>336</v>
      </c>
      <c r="C288" s="201" t="s">
        <v>336</v>
      </c>
      <c r="D288" s="9"/>
      <c r="E288" s="6"/>
      <c r="F288" s="6"/>
      <c r="G288" s="6"/>
      <c r="H288" s="6"/>
      <c r="I288" s="6"/>
    </row>
    <row r="289" spans="3:20" x14ac:dyDescent="0.2">
      <c r="C289" s="203"/>
      <c r="D289" s="158"/>
      <c r="T289" t="s">
        <v>496</v>
      </c>
    </row>
    <row r="290" spans="3:20" x14ac:dyDescent="0.2">
      <c r="D290" s="158"/>
    </row>
    <row r="291" spans="3:20" x14ac:dyDescent="0.2">
      <c r="D291" s="158"/>
    </row>
    <row r="292" spans="3:20" x14ac:dyDescent="0.2">
      <c r="D292" s="158"/>
    </row>
    <row r="293" spans="3:20" x14ac:dyDescent="0.2">
      <c r="D293" s="158"/>
    </row>
    <row r="294" spans="3:20" x14ac:dyDescent="0.2">
      <c r="D294" s="158"/>
    </row>
    <row r="295" spans="3:20" x14ac:dyDescent="0.2">
      <c r="D295" s="158"/>
    </row>
    <row r="296" spans="3:20" x14ac:dyDescent="0.2">
      <c r="D296" s="158"/>
    </row>
    <row r="297" spans="3:20" x14ac:dyDescent="0.2">
      <c r="D297" s="158"/>
    </row>
    <row r="298" spans="3:20" x14ac:dyDescent="0.2">
      <c r="D298" s="158"/>
    </row>
    <row r="299" spans="3:20" x14ac:dyDescent="0.2">
      <c r="D299" s="158"/>
    </row>
    <row r="300" spans="3:20" x14ac:dyDescent="0.2">
      <c r="D300" s="158"/>
    </row>
    <row r="301" spans="3:20" x14ac:dyDescent="0.2">
      <c r="D301" s="158"/>
    </row>
    <row r="302" spans="3:20" x14ac:dyDescent="0.2">
      <c r="D302" s="158"/>
    </row>
    <row r="303" spans="3:20" x14ac:dyDescent="0.2">
      <c r="D303" s="158"/>
    </row>
    <row r="304" spans="3:20" x14ac:dyDescent="0.2">
      <c r="D304" s="158"/>
    </row>
    <row r="305" spans="4:4" x14ac:dyDescent="0.2">
      <c r="D305" s="158"/>
    </row>
    <row r="306" spans="4:4" x14ac:dyDescent="0.2">
      <c r="D306" s="158"/>
    </row>
    <row r="307" spans="4:4" x14ac:dyDescent="0.2">
      <c r="D307" s="158"/>
    </row>
    <row r="308" spans="4:4" x14ac:dyDescent="0.2">
      <c r="D308" s="158"/>
    </row>
    <row r="309" spans="4:4" x14ac:dyDescent="0.2">
      <c r="D309" s="158"/>
    </row>
    <row r="310" spans="4:4" x14ac:dyDescent="0.2">
      <c r="D310" s="158"/>
    </row>
    <row r="311" spans="4:4" x14ac:dyDescent="0.2">
      <c r="D311" s="158"/>
    </row>
    <row r="312" spans="4:4" x14ac:dyDescent="0.2">
      <c r="D312" s="158"/>
    </row>
    <row r="313" spans="4:4" x14ac:dyDescent="0.2">
      <c r="D313" s="158"/>
    </row>
    <row r="314" spans="4:4" x14ac:dyDescent="0.2">
      <c r="D314" s="158"/>
    </row>
    <row r="315" spans="4:4" x14ac:dyDescent="0.2">
      <c r="D315" s="158"/>
    </row>
    <row r="316" spans="4:4" x14ac:dyDescent="0.2">
      <c r="D316" s="158"/>
    </row>
    <row r="317" spans="4:4" x14ac:dyDescent="0.2">
      <c r="D317" s="158"/>
    </row>
    <row r="318" spans="4:4" x14ac:dyDescent="0.2">
      <c r="D318" s="158"/>
    </row>
    <row r="319" spans="4:4" x14ac:dyDescent="0.2">
      <c r="D319" s="158"/>
    </row>
    <row r="320" spans="4:4" x14ac:dyDescent="0.2">
      <c r="D320" s="158"/>
    </row>
    <row r="321" spans="4:4" x14ac:dyDescent="0.2">
      <c r="D321" s="158"/>
    </row>
    <row r="322" spans="4:4" x14ac:dyDescent="0.2">
      <c r="D322" s="158"/>
    </row>
    <row r="323" spans="4:4" x14ac:dyDescent="0.2">
      <c r="D323" s="158"/>
    </row>
    <row r="324" spans="4:4" x14ac:dyDescent="0.2">
      <c r="D324" s="158"/>
    </row>
    <row r="325" spans="4:4" x14ac:dyDescent="0.2">
      <c r="D325" s="158"/>
    </row>
    <row r="326" spans="4:4" x14ac:dyDescent="0.2">
      <c r="D326" s="158"/>
    </row>
    <row r="327" spans="4:4" x14ac:dyDescent="0.2">
      <c r="D327" s="158"/>
    </row>
    <row r="328" spans="4:4" x14ac:dyDescent="0.2">
      <c r="D328" s="158"/>
    </row>
    <row r="329" spans="4:4" x14ac:dyDescent="0.2">
      <c r="D329" s="158"/>
    </row>
    <row r="330" spans="4:4" x14ac:dyDescent="0.2">
      <c r="D330" s="158"/>
    </row>
    <row r="331" spans="4:4" x14ac:dyDescent="0.2">
      <c r="D331" s="158"/>
    </row>
    <row r="332" spans="4:4" x14ac:dyDescent="0.2">
      <c r="D332" s="158"/>
    </row>
    <row r="333" spans="4:4" x14ac:dyDescent="0.2">
      <c r="D333" s="158"/>
    </row>
    <row r="334" spans="4:4" x14ac:dyDescent="0.2">
      <c r="D334" s="158"/>
    </row>
    <row r="335" spans="4:4" x14ac:dyDescent="0.2">
      <c r="D335" s="158"/>
    </row>
    <row r="336" spans="4:4" x14ac:dyDescent="0.2">
      <c r="D336" s="158"/>
    </row>
    <row r="337" spans="4:4" x14ac:dyDescent="0.2">
      <c r="D337" s="158"/>
    </row>
    <row r="338" spans="4:4" x14ac:dyDescent="0.2">
      <c r="D338" s="158"/>
    </row>
    <row r="339" spans="4:4" x14ac:dyDescent="0.2">
      <c r="D339" s="158"/>
    </row>
    <row r="340" spans="4:4" x14ac:dyDescent="0.2">
      <c r="D340" s="158"/>
    </row>
    <row r="341" spans="4:4" x14ac:dyDescent="0.2">
      <c r="D341" s="158"/>
    </row>
    <row r="342" spans="4:4" x14ac:dyDescent="0.2">
      <c r="D342" s="158"/>
    </row>
    <row r="343" spans="4:4" x14ac:dyDescent="0.2">
      <c r="D343" s="158"/>
    </row>
    <row r="344" spans="4:4" x14ac:dyDescent="0.2">
      <c r="D344" s="158"/>
    </row>
    <row r="345" spans="4:4" x14ac:dyDescent="0.2">
      <c r="D345" s="158"/>
    </row>
    <row r="346" spans="4:4" x14ac:dyDescent="0.2">
      <c r="D346" s="158"/>
    </row>
    <row r="347" spans="4:4" x14ac:dyDescent="0.2">
      <c r="D347" s="158"/>
    </row>
    <row r="348" spans="4:4" x14ac:dyDescent="0.2">
      <c r="D348" s="158"/>
    </row>
    <row r="349" spans="4:4" x14ac:dyDescent="0.2">
      <c r="D349" s="158"/>
    </row>
    <row r="350" spans="4:4" x14ac:dyDescent="0.2">
      <c r="D350" s="158"/>
    </row>
    <row r="351" spans="4:4" x14ac:dyDescent="0.2">
      <c r="D351" s="158"/>
    </row>
    <row r="352" spans="4:4" x14ac:dyDescent="0.2">
      <c r="D352" s="158"/>
    </row>
    <row r="353" spans="4:4" x14ac:dyDescent="0.2">
      <c r="D353" s="158"/>
    </row>
    <row r="354" spans="4:4" x14ac:dyDescent="0.2">
      <c r="D354" s="158"/>
    </row>
    <row r="355" spans="4:4" x14ac:dyDescent="0.2">
      <c r="D355" s="158"/>
    </row>
    <row r="356" spans="4:4" x14ac:dyDescent="0.2">
      <c r="D356" s="158"/>
    </row>
    <row r="357" spans="4:4" x14ac:dyDescent="0.2">
      <c r="D357" s="158"/>
    </row>
    <row r="358" spans="4:4" x14ac:dyDescent="0.2">
      <c r="D358" s="158"/>
    </row>
    <row r="359" spans="4:4" x14ac:dyDescent="0.2">
      <c r="D359" s="158"/>
    </row>
    <row r="360" spans="4:4" x14ac:dyDescent="0.2">
      <c r="D360" s="158"/>
    </row>
    <row r="361" spans="4:4" x14ac:dyDescent="0.2">
      <c r="D361" s="158"/>
    </row>
    <row r="362" spans="4:4" x14ac:dyDescent="0.2">
      <c r="D362" s="158"/>
    </row>
    <row r="363" spans="4:4" x14ac:dyDescent="0.2">
      <c r="D363" s="158"/>
    </row>
    <row r="364" spans="4:4" x14ac:dyDescent="0.2">
      <c r="D364" s="158"/>
    </row>
    <row r="365" spans="4:4" x14ac:dyDescent="0.2">
      <c r="D365" s="158"/>
    </row>
    <row r="366" spans="4:4" x14ac:dyDescent="0.2">
      <c r="D366" s="158"/>
    </row>
    <row r="367" spans="4:4" x14ac:dyDescent="0.2">
      <c r="D367" s="158"/>
    </row>
    <row r="368" spans="4:4" x14ac:dyDescent="0.2">
      <c r="D368" s="158"/>
    </row>
    <row r="369" spans="4:4" x14ac:dyDescent="0.2">
      <c r="D369" s="158"/>
    </row>
    <row r="370" spans="4:4" x14ac:dyDescent="0.2">
      <c r="D370" s="158"/>
    </row>
    <row r="371" spans="4:4" x14ac:dyDescent="0.2">
      <c r="D371" s="158"/>
    </row>
    <row r="372" spans="4:4" x14ac:dyDescent="0.2">
      <c r="D372" s="158"/>
    </row>
    <row r="373" spans="4:4" x14ac:dyDescent="0.2">
      <c r="D373" s="158"/>
    </row>
    <row r="374" spans="4:4" x14ac:dyDescent="0.2">
      <c r="D374" s="158"/>
    </row>
    <row r="375" spans="4:4" x14ac:dyDescent="0.2">
      <c r="D375" s="158"/>
    </row>
    <row r="376" spans="4:4" x14ac:dyDescent="0.2">
      <c r="D376" s="158"/>
    </row>
    <row r="377" spans="4:4" x14ac:dyDescent="0.2">
      <c r="D377" s="158"/>
    </row>
    <row r="378" spans="4:4" x14ac:dyDescent="0.2">
      <c r="D378" s="158"/>
    </row>
    <row r="379" spans="4:4" x14ac:dyDescent="0.2">
      <c r="D379" s="158"/>
    </row>
    <row r="380" spans="4:4" x14ac:dyDescent="0.2">
      <c r="D380" s="158"/>
    </row>
    <row r="381" spans="4:4" x14ac:dyDescent="0.2">
      <c r="D381" s="158"/>
    </row>
    <row r="382" spans="4:4" x14ac:dyDescent="0.2">
      <c r="D382" s="158"/>
    </row>
    <row r="383" spans="4:4" x14ac:dyDescent="0.2">
      <c r="D383" s="158"/>
    </row>
    <row r="384" spans="4:4" x14ac:dyDescent="0.2">
      <c r="D384" s="158"/>
    </row>
    <row r="385" spans="4:4" x14ac:dyDescent="0.2">
      <c r="D385" s="158"/>
    </row>
    <row r="386" spans="4:4" x14ac:dyDescent="0.2">
      <c r="D386" s="158"/>
    </row>
    <row r="387" spans="4:4" x14ac:dyDescent="0.2">
      <c r="D387" s="158"/>
    </row>
    <row r="388" spans="4:4" x14ac:dyDescent="0.2">
      <c r="D388" s="158"/>
    </row>
    <row r="389" spans="4:4" x14ac:dyDescent="0.2">
      <c r="D389" s="158"/>
    </row>
    <row r="390" spans="4:4" x14ac:dyDescent="0.2">
      <c r="D390" s="158"/>
    </row>
    <row r="391" spans="4:4" x14ac:dyDescent="0.2">
      <c r="D391" s="158"/>
    </row>
    <row r="392" spans="4:4" x14ac:dyDescent="0.2">
      <c r="D392" s="158"/>
    </row>
    <row r="393" spans="4:4" x14ac:dyDescent="0.2">
      <c r="D393" s="158"/>
    </row>
    <row r="394" spans="4:4" x14ac:dyDescent="0.2">
      <c r="D394" s="158"/>
    </row>
    <row r="395" spans="4:4" x14ac:dyDescent="0.2">
      <c r="D395" s="158"/>
    </row>
    <row r="396" spans="4:4" x14ac:dyDescent="0.2">
      <c r="D396" s="158"/>
    </row>
    <row r="397" spans="4:4" x14ac:dyDescent="0.2">
      <c r="D397" s="158"/>
    </row>
    <row r="398" spans="4:4" x14ac:dyDescent="0.2">
      <c r="D398" s="158"/>
    </row>
    <row r="399" spans="4:4" x14ac:dyDescent="0.2">
      <c r="D399" s="158"/>
    </row>
    <row r="400" spans="4:4" x14ac:dyDescent="0.2">
      <c r="D400" s="158"/>
    </row>
    <row r="401" spans="4:4" x14ac:dyDescent="0.2">
      <c r="D401" s="158"/>
    </row>
    <row r="402" spans="4:4" x14ac:dyDescent="0.2">
      <c r="D402" s="158"/>
    </row>
    <row r="403" spans="4:4" x14ac:dyDescent="0.2">
      <c r="D403" s="158"/>
    </row>
    <row r="404" spans="4:4" x14ac:dyDescent="0.2">
      <c r="D404" s="158"/>
    </row>
    <row r="405" spans="4:4" x14ac:dyDescent="0.2">
      <c r="D405" s="158"/>
    </row>
    <row r="406" spans="4:4" x14ac:dyDescent="0.2">
      <c r="D406" s="158"/>
    </row>
    <row r="407" spans="4:4" x14ac:dyDescent="0.2">
      <c r="D407" s="158"/>
    </row>
    <row r="408" spans="4:4" x14ac:dyDescent="0.2">
      <c r="D408" s="158"/>
    </row>
    <row r="409" spans="4:4" x14ac:dyDescent="0.2">
      <c r="D409" s="158"/>
    </row>
    <row r="410" spans="4:4" x14ac:dyDescent="0.2">
      <c r="D410" s="158"/>
    </row>
    <row r="411" spans="4:4" x14ac:dyDescent="0.2">
      <c r="D411" s="158"/>
    </row>
    <row r="412" spans="4:4" x14ac:dyDescent="0.2">
      <c r="D412" s="158"/>
    </row>
    <row r="413" spans="4:4" x14ac:dyDescent="0.2">
      <c r="D413" s="158"/>
    </row>
    <row r="414" spans="4:4" x14ac:dyDescent="0.2">
      <c r="D414" s="158"/>
    </row>
    <row r="415" spans="4:4" x14ac:dyDescent="0.2">
      <c r="D415" s="158"/>
    </row>
    <row r="416" spans="4:4" x14ac:dyDescent="0.2">
      <c r="D416" s="158"/>
    </row>
    <row r="417" spans="4:4" x14ac:dyDescent="0.2">
      <c r="D417" s="158"/>
    </row>
    <row r="418" spans="4:4" x14ac:dyDescent="0.2">
      <c r="D418" s="158"/>
    </row>
    <row r="419" spans="4:4" x14ac:dyDescent="0.2">
      <c r="D419" s="158"/>
    </row>
    <row r="420" spans="4:4" x14ac:dyDescent="0.2">
      <c r="D420" s="158"/>
    </row>
    <row r="421" spans="4:4" x14ac:dyDescent="0.2">
      <c r="D421" s="158"/>
    </row>
    <row r="422" spans="4:4" x14ac:dyDescent="0.2">
      <c r="D422" s="158"/>
    </row>
    <row r="423" spans="4:4" x14ac:dyDescent="0.2">
      <c r="D423" s="158"/>
    </row>
    <row r="424" spans="4:4" x14ac:dyDescent="0.2">
      <c r="D424" s="158"/>
    </row>
    <row r="425" spans="4:4" x14ac:dyDescent="0.2">
      <c r="D425" s="158"/>
    </row>
    <row r="426" spans="4:4" x14ac:dyDescent="0.2">
      <c r="D426" s="158"/>
    </row>
    <row r="427" spans="4:4" x14ac:dyDescent="0.2">
      <c r="D427" s="158"/>
    </row>
    <row r="428" spans="4:4" x14ac:dyDescent="0.2">
      <c r="D428" s="158"/>
    </row>
    <row r="429" spans="4:4" x14ac:dyDescent="0.2">
      <c r="D429" s="158"/>
    </row>
    <row r="430" spans="4:4" x14ac:dyDescent="0.2">
      <c r="D430" s="158"/>
    </row>
    <row r="431" spans="4:4" x14ac:dyDescent="0.2">
      <c r="D431" s="158"/>
    </row>
    <row r="432" spans="4:4" x14ac:dyDescent="0.2">
      <c r="D432" s="158"/>
    </row>
    <row r="433" spans="4:4" x14ac:dyDescent="0.2">
      <c r="D433" s="158"/>
    </row>
    <row r="434" spans="4:4" x14ac:dyDescent="0.2">
      <c r="D434" s="158"/>
    </row>
    <row r="435" spans="4:4" x14ac:dyDescent="0.2">
      <c r="D435" s="158"/>
    </row>
    <row r="436" spans="4:4" x14ac:dyDescent="0.2">
      <c r="D436" s="158"/>
    </row>
    <row r="437" spans="4:4" x14ac:dyDescent="0.2">
      <c r="D437" s="158"/>
    </row>
    <row r="438" spans="4:4" x14ac:dyDescent="0.2">
      <c r="D438" s="158"/>
    </row>
    <row r="439" spans="4:4" x14ac:dyDescent="0.2">
      <c r="D439" s="158"/>
    </row>
    <row r="440" spans="4:4" x14ac:dyDescent="0.2">
      <c r="D440" s="158"/>
    </row>
    <row r="441" spans="4:4" x14ac:dyDescent="0.2">
      <c r="D441" s="158"/>
    </row>
    <row r="442" spans="4:4" x14ac:dyDescent="0.2">
      <c r="D442" s="158"/>
    </row>
    <row r="443" spans="4:4" x14ac:dyDescent="0.2">
      <c r="D443" s="158"/>
    </row>
    <row r="444" spans="4:4" x14ac:dyDescent="0.2">
      <c r="D444" s="158"/>
    </row>
    <row r="445" spans="4:4" x14ac:dyDescent="0.2">
      <c r="D445" s="158"/>
    </row>
    <row r="446" spans="4:4" x14ac:dyDescent="0.2">
      <c r="D446" s="158"/>
    </row>
    <row r="447" spans="4:4" x14ac:dyDescent="0.2">
      <c r="D447" s="158"/>
    </row>
    <row r="448" spans="4:4" x14ac:dyDescent="0.2">
      <c r="D448" s="158"/>
    </row>
    <row r="449" spans="4:4" x14ac:dyDescent="0.2">
      <c r="D449" s="158"/>
    </row>
    <row r="450" spans="4:4" x14ac:dyDescent="0.2">
      <c r="D450" s="158"/>
    </row>
    <row r="451" spans="4:4" x14ac:dyDescent="0.2">
      <c r="D451" s="158"/>
    </row>
    <row r="452" spans="4:4" x14ac:dyDescent="0.2">
      <c r="D452" s="158"/>
    </row>
    <row r="453" spans="4:4" x14ac:dyDescent="0.2">
      <c r="D453" s="158"/>
    </row>
    <row r="454" spans="4:4" x14ac:dyDescent="0.2">
      <c r="D454" s="158"/>
    </row>
    <row r="455" spans="4:4" x14ac:dyDescent="0.2">
      <c r="D455" s="158"/>
    </row>
    <row r="456" spans="4:4" x14ac:dyDescent="0.2">
      <c r="D456" s="158"/>
    </row>
    <row r="457" spans="4:4" x14ac:dyDescent="0.2">
      <c r="D457" s="158"/>
    </row>
    <row r="458" spans="4:4" x14ac:dyDescent="0.2">
      <c r="D458" s="158"/>
    </row>
    <row r="459" spans="4:4" x14ac:dyDescent="0.2">
      <c r="D459" s="158"/>
    </row>
    <row r="460" spans="4:4" x14ac:dyDescent="0.2">
      <c r="D460" s="158"/>
    </row>
    <row r="461" spans="4:4" x14ac:dyDescent="0.2">
      <c r="D461" s="158"/>
    </row>
    <row r="462" spans="4:4" x14ac:dyDescent="0.2">
      <c r="D462" s="158"/>
    </row>
    <row r="463" spans="4:4" x14ac:dyDescent="0.2">
      <c r="D463" s="158"/>
    </row>
    <row r="464" spans="4:4" x14ac:dyDescent="0.2">
      <c r="D464" s="158"/>
    </row>
    <row r="465" spans="4:4" x14ac:dyDescent="0.2">
      <c r="D465" s="158"/>
    </row>
    <row r="466" spans="4:4" x14ac:dyDescent="0.2">
      <c r="D466" s="158"/>
    </row>
    <row r="467" spans="4:4" x14ac:dyDescent="0.2">
      <c r="D467" s="158"/>
    </row>
    <row r="468" spans="4:4" x14ac:dyDescent="0.2">
      <c r="D468" s="158"/>
    </row>
    <row r="469" spans="4:4" x14ac:dyDescent="0.2">
      <c r="D469" s="158"/>
    </row>
    <row r="470" spans="4:4" x14ac:dyDescent="0.2">
      <c r="D470" s="158"/>
    </row>
    <row r="471" spans="4:4" x14ac:dyDescent="0.2">
      <c r="D471" s="158"/>
    </row>
    <row r="472" spans="4:4" x14ac:dyDescent="0.2">
      <c r="D472" s="158"/>
    </row>
    <row r="473" spans="4:4" x14ac:dyDescent="0.2">
      <c r="D473" s="158"/>
    </row>
    <row r="474" spans="4:4" x14ac:dyDescent="0.2">
      <c r="D474" s="158"/>
    </row>
    <row r="475" spans="4:4" x14ac:dyDescent="0.2">
      <c r="D475" s="158"/>
    </row>
    <row r="476" spans="4:4" x14ac:dyDescent="0.2">
      <c r="D476" s="158"/>
    </row>
    <row r="477" spans="4:4" x14ac:dyDescent="0.2">
      <c r="D477" s="158"/>
    </row>
    <row r="478" spans="4:4" x14ac:dyDescent="0.2">
      <c r="D478" s="158"/>
    </row>
    <row r="479" spans="4:4" x14ac:dyDescent="0.2">
      <c r="D479" s="158"/>
    </row>
    <row r="480" spans="4:4" x14ac:dyDescent="0.2">
      <c r="D480" s="158"/>
    </row>
    <row r="481" spans="4:4" x14ac:dyDescent="0.2">
      <c r="D481" s="158"/>
    </row>
    <row r="482" spans="4:4" x14ac:dyDescent="0.2">
      <c r="D482" s="158"/>
    </row>
    <row r="483" spans="4:4" x14ac:dyDescent="0.2">
      <c r="D483" s="158"/>
    </row>
    <row r="484" spans="4:4" x14ac:dyDescent="0.2">
      <c r="D484" s="158"/>
    </row>
    <row r="485" spans="4:4" x14ac:dyDescent="0.2">
      <c r="D485" s="158"/>
    </row>
    <row r="486" spans="4:4" x14ac:dyDescent="0.2">
      <c r="D486" s="158"/>
    </row>
    <row r="487" spans="4:4" x14ac:dyDescent="0.2">
      <c r="D487" s="158"/>
    </row>
    <row r="488" spans="4:4" x14ac:dyDescent="0.2">
      <c r="D488" s="158"/>
    </row>
    <row r="489" spans="4:4" x14ac:dyDescent="0.2">
      <c r="D489" s="158"/>
    </row>
    <row r="490" spans="4:4" x14ac:dyDescent="0.2">
      <c r="D490" s="158"/>
    </row>
    <row r="491" spans="4:4" x14ac:dyDescent="0.2">
      <c r="D491" s="158"/>
    </row>
    <row r="492" spans="4:4" x14ac:dyDescent="0.2">
      <c r="D492" s="158"/>
    </row>
    <row r="493" spans="4:4" x14ac:dyDescent="0.2">
      <c r="D493" s="158"/>
    </row>
    <row r="494" spans="4:4" x14ac:dyDescent="0.2">
      <c r="D494" s="158"/>
    </row>
    <row r="495" spans="4:4" x14ac:dyDescent="0.2">
      <c r="D495" s="158"/>
    </row>
    <row r="496" spans="4:4" x14ac:dyDescent="0.2">
      <c r="D496" s="158"/>
    </row>
    <row r="497" spans="4:4" x14ac:dyDescent="0.2">
      <c r="D497" s="158"/>
    </row>
    <row r="498" spans="4:4" x14ac:dyDescent="0.2">
      <c r="D498" s="158"/>
    </row>
    <row r="499" spans="4:4" x14ac:dyDescent="0.2">
      <c r="D499" s="158"/>
    </row>
    <row r="500" spans="4:4" x14ac:dyDescent="0.2">
      <c r="D500" s="158"/>
    </row>
    <row r="501" spans="4:4" x14ac:dyDescent="0.2">
      <c r="D501" s="158"/>
    </row>
    <row r="502" spans="4:4" x14ac:dyDescent="0.2">
      <c r="D502" s="158"/>
    </row>
    <row r="503" spans="4:4" x14ac:dyDescent="0.2">
      <c r="D503" s="158"/>
    </row>
    <row r="504" spans="4:4" x14ac:dyDescent="0.2">
      <c r="D504" s="158"/>
    </row>
    <row r="505" spans="4:4" x14ac:dyDescent="0.2">
      <c r="D505" s="158"/>
    </row>
    <row r="506" spans="4:4" x14ac:dyDescent="0.2">
      <c r="D506" s="158"/>
    </row>
    <row r="507" spans="4:4" x14ac:dyDescent="0.2">
      <c r="D507" s="158"/>
    </row>
    <row r="508" spans="4:4" x14ac:dyDescent="0.2">
      <c r="D508" s="158"/>
    </row>
    <row r="509" spans="4:4" x14ac:dyDescent="0.2">
      <c r="D509" s="158"/>
    </row>
    <row r="510" spans="4:4" x14ac:dyDescent="0.2">
      <c r="D510" s="158"/>
    </row>
    <row r="511" spans="4:4" x14ac:dyDescent="0.2">
      <c r="D511" s="158"/>
    </row>
    <row r="512" spans="4:4" x14ac:dyDescent="0.2">
      <c r="D512" s="158"/>
    </row>
    <row r="513" spans="4:4" x14ac:dyDescent="0.2">
      <c r="D513" s="158"/>
    </row>
    <row r="514" spans="4:4" x14ac:dyDescent="0.2">
      <c r="D514" s="158"/>
    </row>
    <row r="515" spans="4:4" x14ac:dyDescent="0.2">
      <c r="D515" s="158"/>
    </row>
    <row r="516" spans="4:4" x14ac:dyDescent="0.2">
      <c r="D516" s="158"/>
    </row>
    <row r="517" spans="4:4" x14ac:dyDescent="0.2">
      <c r="D517" s="158"/>
    </row>
    <row r="518" spans="4:4" x14ac:dyDescent="0.2">
      <c r="D518" s="158"/>
    </row>
    <row r="519" spans="4:4" x14ac:dyDescent="0.2">
      <c r="D519" s="158"/>
    </row>
    <row r="520" spans="4:4" x14ac:dyDescent="0.2">
      <c r="D520" s="158"/>
    </row>
    <row r="521" spans="4:4" x14ac:dyDescent="0.2">
      <c r="D521" s="158"/>
    </row>
    <row r="522" spans="4:4" x14ac:dyDescent="0.2">
      <c r="D522" s="158"/>
    </row>
    <row r="523" spans="4:4" x14ac:dyDescent="0.2">
      <c r="D523" s="158"/>
    </row>
    <row r="524" spans="4:4" x14ac:dyDescent="0.2">
      <c r="D524" s="158"/>
    </row>
    <row r="525" spans="4:4" x14ac:dyDescent="0.2">
      <c r="D525" s="158"/>
    </row>
    <row r="526" spans="4:4" x14ac:dyDescent="0.2">
      <c r="D526" s="158"/>
    </row>
    <row r="527" spans="4:4" x14ac:dyDescent="0.2">
      <c r="D527" s="158"/>
    </row>
    <row r="528" spans="4:4" x14ac:dyDescent="0.2">
      <c r="D528" s="158"/>
    </row>
    <row r="529" spans="4:4" x14ac:dyDescent="0.2">
      <c r="D529" s="158"/>
    </row>
    <row r="530" spans="4:4" x14ac:dyDescent="0.2">
      <c r="D530" s="158"/>
    </row>
    <row r="531" spans="4:4" x14ac:dyDescent="0.2">
      <c r="D531" s="158"/>
    </row>
    <row r="532" spans="4:4" x14ac:dyDescent="0.2">
      <c r="D532" s="158"/>
    </row>
    <row r="533" spans="4:4" x14ac:dyDescent="0.2">
      <c r="D533" s="158"/>
    </row>
    <row r="534" spans="4:4" x14ac:dyDescent="0.2">
      <c r="D534" s="158"/>
    </row>
    <row r="535" spans="4:4" x14ac:dyDescent="0.2">
      <c r="D535" s="158"/>
    </row>
    <row r="536" spans="4:4" x14ac:dyDescent="0.2">
      <c r="D536" s="158"/>
    </row>
    <row r="537" spans="4:4" x14ac:dyDescent="0.2">
      <c r="D537" s="158"/>
    </row>
    <row r="538" spans="4:4" x14ac:dyDescent="0.2">
      <c r="D538" s="158"/>
    </row>
    <row r="539" spans="4:4" x14ac:dyDescent="0.2">
      <c r="D539" s="158"/>
    </row>
    <row r="540" spans="4:4" x14ac:dyDescent="0.2">
      <c r="D540" s="158"/>
    </row>
    <row r="541" spans="4:4" x14ac:dyDescent="0.2">
      <c r="D541" s="158"/>
    </row>
    <row r="542" spans="4:4" x14ac:dyDescent="0.2">
      <c r="D542" s="158"/>
    </row>
    <row r="543" spans="4:4" x14ac:dyDescent="0.2">
      <c r="D543" s="158"/>
    </row>
    <row r="544" spans="4:4" x14ac:dyDescent="0.2">
      <c r="D544" s="158"/>
    </row>
    <row r="545" spans="4:4" x14ac:dyDescent="0.2">
      <c r="D545" s="158"/>
    </row>
    <row r="546" spans="4:4" x14ac:dyDescent="0.2">
      <c r="D546" s="158"/>
    </row>
    <row r="547" spans="4:4" x14ac:dyDescent="0.2">
      <c r="D547" s="158"/>
    </row>
    <row r="548" spans="4:4" x14ac:dyDescent="0.2">
      <c r="D548" s="158"/>
    </row>
    <row r="549" spans="4:4" x14ac:dyDescent="0.2">
      <c r="D549" s="158"/>
    </row>
    <row r="550" spans="4:4" x14ac:dyDescent="0.2">
      <c r="D550" s="158"/>
    </row>
    <row r="551" spans="4:4" x14ac:dyDescent="0.2">
      <c r="D551" s="158"/>
    </row>
    <row r="552" spans="4:4" x14ac:dyDescent="0.2">
      <c r="D552" s="158"/>
    </row>
    <row r="553" spans="4:4" x14ac:dyDescent="0.2">
      <c r="D553" s="158"/>
    </row>
    <row r="554" spans="4:4" x14ac:dyDescent="0.2">
      <c r="D554" s="158"/>
    </row>
    <row r="555" spans="4:4" x14ac:dyDescent="0.2">
      <c r="D555" s="158"/>
    </row>
    <row r="556" spans="4:4" x14ac:dyDescent="0.2">
      <c r="D556" s="158"/>
    </row>
    <row r="557" spans="4:4" x14ac:dyDescent="0.2">
      <c r="D557" s="158"/>
    </row>
    <row r="558" spans="4:4" x14ac:dyDescent="0.2">
      <c r="D558" s="158"/>
    </row>
    <row r="559" spans="4:4" x14ac:dyDescent="0.2">
      <c r="D559" s="158"/>
    </row>
    <row r="560" spans="4:4" x14ac:dyDescent="0.2">
      <c r="D560" s="158"/>
    </row>
    <row r="561" spans="4:4" x14ac:dyDescent="0.2">
      <c r="D561" s="158"/>
    </row>
    <row r="562" spans="4:4" x14ac:dyDescent="0.2">
      <c r="D562" s="158"/>
    </row>
    <row r="563" spans="4:4" x14ac:dyDescent="0.2">
      <c r="D563" s="158"/>
    </row>
    <row r="564" spans="4:4" x14ac:dyDescent="0.2">
      <c r="D564" s="158"/>
    </row>
    <row r="565" spans="4:4" x14ac:dyDescent="0.2">
      <c r="D565" s="158"/>
    </row>
    <row r="566" spans="4:4" x14ac:dyDescent="0.2">
      <c r="D566" s="158"/>
    </row>
    <row r="567" spans="4:4" x14ac:dyDescent="0.2">
      <c r="D567" s="158"/>
    </row>
    <row r="568" spans="4:4" x14ac:dyDescent="0.2">
      <c r="D568" s="158"/>
    </row>
    <row r="569" spans="4:4" x14ac:dyDescent="0.2">
      <c r="D569" s="158"/>
    </row>
    <row r="570" spans="4:4" x14ac:dyDescent="0.2">
      <c r="D570" s="158"/>
    </row>
    <row r="571" spans="4:4" x14ac:dyDescent="0.2">
      <c r="D571" s="158"/>
    </row>
    <row r="572" spans="4:4" x14ac:dyDescent="0.2">
      <c r="D572" s="158"/>
    </row>
    <row r="573" spans="4:4" x14ac:dyDescent="0.2">
      <c r="D573" s="158"/>
    </row>
    <row r="574" spans="4:4" x14ac:dyDescent="0.2">
      <c r="D574" s="158"/>
    </row>
    <row r="575" spans="4:4" x14ac:dyDescent="0.2">
      <c r="D575" s="158"/>
    </row>
    <row r="576" spans="4:4" x14ac:dyDescent="0.2">
      <c r="D576" s="158"/>
    </row>
    <row r="577" spans="4:4" x14ac:dyDescent="0.2">
      <c r="D577" s="158"/>
    </row>
    <row r="578" spans="4:4" x14ac:dyDescent="0.2">
      <c r="D578" s="158"/>
    </row>
    <row r="579" spans="4:4" x14ac:dyDescent="0.2">
      <c r="D579" s="158"/>
    </row>
    <row r="580" spans="4:4" x14ac:dyDescent="0.2">
      <c r="D580" s="158"/>
    </row>
    <row r="581" spans="4:4" x14ac:dyDescent="0.2">
      <c r="D581" s="158"/>
    </row>
    <row r="582" spans="4:4" x14ac:dyDescent="0.2">
      <c r="D582" s="158"/>
    </row>
    <row r="583" spans="4:4" x14ac:dyDescent="0.2">
      <c r="D583" s="158"/>
    </row>
    <row r="584" spans="4:4" x14ac:dyDescent="0.2">
      <c r="D584" s="158"/>
    </row>
    <row r="585" spans="4:4" x14ac:dyDescent="0.2">
      <c r="D585" s="158"/>
    </row>
    <row r="586" spans="4:4" x14ac:dyDescent="0.2">
      <c r="D586" s="158"/>
    </row>
    <row r="587" spans="4:4" x14ac:dyDescent="0.2">
      <c r="D587" s="158"/>
    </row>
    <row r="588" spans="4:4" x14ac:dyDescent="0.2">
      <c r="D588" s="158"/>
    </row>
    <row r="589" spans="4:4" x14ac:dyDescent="0.2">
      <c r="D589" s="158"/>
    </row>
    <row r="590" spans="4:4" x14ac:dyDescent="0.2">
      <c r="D590" s="158"/>
    </row>
    <row r="591" spans="4:4" x14ac:dyDescent="0.2">
      <c r="D591" s="158"/>
    </row>
    <row r="592" spans="4:4" x14ac:dyDescent="0.2">
      <c r="D592" s="158"/>
    </row>
    <row r="593" spans="4:4" x14ac:dyDescent="0.2">
      <c r="D593" s="158"/>
    </row>
    <row r="594" spans="4:4" x14ac:dyDescent="0.2">
      <c r="D594" s="158"/>
    </row>
    <row r="595" spans="4:4" x14ac:dyDescent="0.2">
      <c r="D595" s="158"/>
    </row>
    <row r="596" spans="4:4" x14ac:dyDescent="0.2">
      <c r="D596" s="158"/>
    </row>
    <row r="597" spans="4:4" x14ac:dyDescent="0.2">
      <c r="D597" s="158"/>
    </row>
    <row r="598" spans="4:4" x14ac:dyDescent="0.2">
      <c r="D598" s="158"/>
    </row>
    <row r="599" spans="4:4" x14ac:dyDescent="0.2">
      <c r="D599" s="158"/>
    </row>
    <row r="600" spans="4:4" x14ac:dyDescent="0.2">
      <c r="D600" s="158"/>
    </row>
    <row r="601" spans="4:4" x14ac:dyDescent="0.2">
      <c r="D601" s="158"/>
    </row>
    <row r="602" spans="4:4" x14ac:dyDescent="0.2">
      <c r="D602" s="158"/>
    </row>
    <row r="603" spans="4:4" x14ac:dyDescent="0.2">
      <c r="D603" s="158"/>
    </row>
    <row r="604" spans="4:4" x14ac:dyDescent="0.2">
      <c r="D604" s="158"/>
    </row>
    <row r="605" spans="4:4" x14ac:dyDescent="0.2">
      <c r="D605" s="158"/>
    </row>
    <row r="606" spans="4:4" x14ac:dyDescent="0.2">
      <c r="D606" s="158"/>
    </row>
    <row r="607" spans="4:4" x14ac:dyDescent="0.2">
      <c r="D607" s="158"/>
    </row>
    <row r="608" spans="4:4" x14ac:dyDescent="0.2">
      <c r="D608" s="158"/>
    </row>
    <row r="609" spans="4:4" x14ac:dyDescent="0.2">
      <c r="D609" s="158"/>
    </row>
    <row r="610" spans="4:4" x14ac:dyDescent="0.2">
      <c r="D610" s="158"/>
    </row>
    <row r="611" spans="4:4" x14ac:dyDescent="0.2">
      <c r="D611" s="158"/>
    </row>
    <row r="612" spans="4:4" x14ac:dyDescent="0.2">
      <c r="D612" s="158"/>
    </row>
    <row r="613" spans="4:4" x14ac:dyDescent="0.2">
      <c r="D613" s="158"/>
    </row>
    <row r="614" spans="4:4" x14ac:dyDescent="0.2">
      <c r="D614" s="158"/>
    </row>
    <row r="615" spans="4:4" x14ac:dyDescent="0.2">
      <c r="D615" s="158"/>
    </row>
    <row r="616" spans="4:4" x14ac:dyDescent="0.2">
      <c r="D616" s="158"/>
    </row>
    <row r="617" spans="4:4" x14ac:dyDescent="0.2">
      <c r="D617" s="158"/>
    </row>
    <row r="618" spans="4:4" x14ac:dyDescent="0.2">
      <c r="D618" s="158"/>
    </row>
    <row r="619" spans="4:4" x14ac:dyDescent="0.2">
      <c r="D619" s="158"/>
    </row>
    <row r="620" spans="4:4" x14ac:dyDescent="0.2">
      <c r="D620" s="158"/>
    </row>
    <row r="621" spans="4:4" x14ac:dyDescent="0.2">
      <c r="D621" s="158"/>
    </row>
    <row r="622" spans="4:4" x14ac:dyDescent="0.2">
      <c r="D622" s="158"/>
    </row>
    <row r="623" spans="4:4" x14ac:dyDescent="0.2">
      <c r="D623" s="158"/>
    </row>
    <row r="624" spans="4:4" x14ac:dyDescent="0.2">
      <c r="D624" s="158"/>
    </row>
    <row r="625" spans="4:4" x14ac:dyDescent="0.2">
      <c r="D625" s="158"/>
    </row>
    <row r="626" spans="4:4" x14ac:dyDescent="0.2">
      <c r="D626" s="158"/>
    </row>
    <row r="627" spans="4:4" x14ac:dyDescent="0.2">
      <c r="D627" s="158"/>
    </row>
    <row r="628" spans="4:4" x14ac:dyDescent="0.2">
      <c r="D628" s="158"/>
    </row>
    <row r="629" spans="4:4" x14ac:dyDescent="0.2">
      <c r="D629" s="158"/>
    </row>
    <row r="630" spans="4:4" x14ac:dyDescent="0.2">
      <c r="D630" s="158"/>
    </row>
    <row r="631" spans="4:4" x14ac:dyDescent="0.2">
      <c r="D631" s="158"/>
    </row>
    <row r="632" spans="4:4" x14ac:dyDescent="0.2">
      <c r="D632" s="158"/>
    </row>
    <row r="633" spans="4:4" x14ac:dyDescent="0.2">
      <c r="D633" s="158"/>
    </row>
    <row r="634" spans="4:4" x14ac:dyDescent="0.2">
      <c r="D634" s="158"/>
    </row>
    <row r="635" spans="4:4" x14ac:dyDescent="0.2">
      <c r="D635" s="158"/>
    </row>
    <row r="636" spans="4:4" x14ac:dyDescent="0.2">
      <c r="D636" s="158"/>
    </row>
    <row r="637" spans="4:4" x14ac:dyDescent="0.2">
      <c r="D637" s="158"/>
    </row>
    <row r="638" spans="4:4" x14ac:dyDescent="0.2">
      <c r="D638" s="158"/>
    </row>
    <row r="639" spans="4:4" x14ac:dyDescent="0.2">
      <c r="D639" s="158"/>
    </row>
    <row r="640" spans="4:4" x14ac:dyDescent="0.2">
      <c r="D640" s="158"/>
    </row>
    <row r="641" spans="4:4" x14ac:dyDescent="0.2">
      <c r="D641" s="158"/>
    </row>
    <row r="642" spans="4:4" x14ac:dyDescent="0.2">
      <c r="D642" s="158"/>
    </row>
    <row r="643" spans="4:4" x14ac:dyDescent="0.2">
      <c r="D643" s="158"/>
    </row>
    <row r="644" spans="4:4" x14ac:dyDescent="0.2">
      <c r="D644" s="158"/>
    </row>
    <row r="645" spans="4:4" x14ac:dyDescent="0.2">
      <c r="D645" s="158"/>
    </row>
    <row r="646" spans="4:4" x14ac:dyDescent="0.2">
      <c r="D646" s="158"/>
    </row>
    <row r="647" spans="4:4" x14ac:dyDescent="0.2">
      <c r="D647" s="158"/>
    </row>
    <row r="648" spans="4:4" x14ac:dyDescent="0.2">
      <c r="D648" s="158"/>
    </row>
    <row r="649" spans="4:4" x14ac:dyDescent="0.2">
      <c r="D649" s="158"/>
    </row>
    <row r="650" spans="4:4" x14ac:dyDescent="0.2">
      <c r="D650" s="158"/>
    </row>
    <row r="651" spans="4:4" x14ac:dyDescent="0.2">
      <c r="D651" s="158"/>
    </row>
    <row r="652" spans="4:4" x14ac:dyDescent="0.2">
      <c r="D652" s="158"/>
    </row>
    <row r="653" spans="4:4" x14ac:dyDescent="0.2">
      <c r="D653" s="158"/>
    </row>
    <row r="654" spans="4:4" x14ac:dyDescent="0.2">
      <c r="D654" s="158"/>
    </row>
    <row r="655" spans="4:4" x14ac:dyDescent="0.2">
      <c r="D655" s="158"/>
    </row>
    <row r="656" spans="4:4" x14ac:dyDescent="0.2">
      <c r="D656" s="158"/>
    </row>
    <row r="657" spans="4:4" x14ac:dyDescent="0.2">
      <c r="D657" s="158"/>
    </row>
    <row r="658" spans="4:4" x14ac:dyDescent="0.2">
      <c r="D658" s="158"/>
    </row>
    <row r="659" spans="4:4" x14ac:dyDescent="0.2">
      <c r="D659" s="158"/>
    </row>
    <row r="660" spans="4:4" x14ac:dyDescent="0.2">
      <c r="D660" s="158"/>
    </row>
    <row r="661" spans="4:4" x14ac:dyDescent="0.2">
      <c r="D661" s="158"/>
    </row>
    <row r="662" spans="4:4" x14ac:dyDescent="0.2">
      <c r="D662" s="158"/>
    </row>
    <row r="663" spans="4:4" x14ac:dyDescent="0.2">
      <c r="D663" s="158"/>
    </row>
    <row r="664" spans="4:4" x14ac:dyDescent="0.2">
      <c r="D664" s="158"/>
    </row>
    <row r="665" spans="4:4" x14ac:dyDescent="0.2">
      <c r="D665" s="158"/>
    </row>
    <row r="666" spans="4:4" x14ac:dyDescent="0.2">
      <c r="D666" s="158"/>
    </row>
    <row r="667" spans="4:4" x14ac:dyDescent="0.2">
      <c r="D667" s="158"/>
    </row>
    <row r="668" spans="4:4" x14ac:dyDescent="0.2">
      <c r="D668" s="158"/>
    </row>
    <row r="669" spans="4:4" x14ac:dyDescent="0.2">
      <c r="D669" s="158"/>
    </row>
    <row r="670" spans="4:4" x14ac:dyDescent="0.2">
      <c r="D670" s="158"/>
    </row>
    <row r="671" spans="4:4" x14ac:dyDescent="0.2">
      <c r="D671" s="158"/>
    </row>
    <row r="672" spans="4:4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  <row r="4995" spans="4:4" x14ac:dyDescent="0.2">
      <c r="D4995" s="158"/>
    </row>
    <row r="4996" spans="4:4" x14ac:dyDescent="0.2">
      <c r="D4996" s="158"/>
    </row>
    <row r="4997" spans="4:4" x14ac:dyDescent="0.2">
      <c r="D4997" s="158"/>
    </row>
    <row r="4998" spans="4:4" x14ac:dyDescent="0.2">
      <c r="D4998" s="158"/>
    </row>
    <row r="4999" spans="4:4" x14ac:dyDescent="0.2">
      <c r="D4999" s="158"/>
    </row>
    <row r="5000" spans="4:4" x14ac:dyDescent="0.2">
      <c r="D5000" s="158"/>
    </row>
    <row r="5001" spans="4:4" x14ac:dyDescent="0.2">
      <c r="D5001" s="158"/>
    </row>
  </sheetData>
  <mergeCells count="6">
    <mergeCell ref="A283:G287"/>
    <mergeCell ref="A1:G1"/>
    <mergeCell ref="C2:G2"/>
    <mergeCell ref="C3:G3"/>
    <mergeCell ref="C4:G4"/>
    <mergeCell ref="A282:C282"/>
  </mergeCells>
  <phoneticPr fontId="0" type="noConversion"/>
  <pageMargins left="0.59055118110236204" right="0.23622047244094502" top="0.78740157499999996" bottom="0.78740157499999996" header="0.3" footer="0.3"/>
  <pageSetup paperSize="9" orientation="portrait" r:id="rId1"/>
  <rowBreaks count="2" manualBreakCount="2">
    <brk id="49" max="8" man="1"/>
    <brk id="10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47</vt:i4>
      </vt:variant>
    </vt:vector>
  </HeadingPairs>
  <TitlesOfParts>
    <vt:vector size="54" baseType="lpstr">
      <vt:lpstr>Stavební rozpočet</vt:lpstr>
      <vt:lpstr>Stavební rozpočet - součet</vt:lpstr>
      <vt:lpstr>KL_rozpočtu vstupu</vt:lpstr>
      <vt:lpstr>KL_SOUČTOVÝ</vt:lpstr>
      <vt:lpstr>KL_Stavba_kuchyně</vt:lpstr>
      <vt:lpstr>VzorPolozky</vt:lpstr>
      <vt:lpstr>01 01. Pol</vt:lpstr>
      <vt:lpstr>KL_Stavba_kuchyně!CelkemDPHVypocet</vt:lpstr>
      <vt:lpstr>CenaCelkem</vt:lpstr>
      <vt:lpstr>CenaCelkemBezDPH</vt:lpstr>
      <vt:lpstr>KL_Stavba_kuchyně!CenaCelkemVypocet</vt:lpstr>
      <vt:lpstr>cisloobjektu</vt:lpstr>
      <vt:lpstr>KL_Stavba_kuchyně!CisloStavby</vt:lpstr>
      <vt:lpstr>CisloStavebnihoRozpoctu</vt:lpstr>
      <vt:lpstr>dadresa</vt:lpstr>
      <vt:lpstr>KL_Stavba_kuchyně!DIČ</vt:lpstr>
      <vt:lpstr>dmisto</vt:lpstr>
      <vt:lpstr>DPHSni</vt:lpstr>
      <vt:lpstr>DPHZakl</vt:lpstr>
      <vt:lpstr>KL_Stavba_kuchyně!dpsc</vt:lpstr>
      <vt:lpstr>KL_Stavba_kuchyně!IČO</vt:lpstr>
      <vt:lpstr>Mena</vt:lpstr>
      <vt:lpstr>MistoStavby</vt:lpstr>
      <vt:lpstr>nazevobjektu</vt:lpstr>
      <vt:lpstr>KL_Stavba_kuchyně!NazevStavby</vt:lpstr>
      <vt:lpstr>NazevStavebnihoRozpoctu</vt:lpstr>
      <vt:lpstr>oadresa</vt:lpstr>
      <vt:lpstr>KL_Stavba_kuchyně!Objednatel</vt:lpstr>
      <vt:lpstr>KL_Stavba_kuchyně!Objekt</vt:lpstr>
      <vt:lpstr>'01 01. Pol'!Oblast_tisku</vt:lpstr>
      <vt:lpstr>KL_Stavba_kuchyně!Oblast_tisku</vt:lpstr>
      <vt:lpstr>KL_Stavba_kuchyně!odic</vt:lpstr>
      <vt:lpstr>KL_Stavba_kuchyně!oico</vt:lpstr>
      <vt:lpstr>KL_Stavba_kuchyně!omisto</vt:lpstr>
      <vt:lpstr>KL_Stavba_kuchyně!onazev</vt:lpstr>
      <vt:lpstr>KL_Stavba_kuchyně!opsc</vt:lpstr>
      <vt:lpstr>padresa</vt:lpstr>
      <vt:lpstr>pdic</vt:lpstr>
      <vt:lpstr>pico</vt:lpstr>
      <vt:lpstr>pmisto</vt:lpstr>
      <vt:lpstr>PoptavkaID</vt:lpstr>
      <vt:lpstr>pPSC</vt:lpstr>
      <vt:lpstr>Projektant</vt:lpstr>
      <vt:lpstr>KL_Stavba_kuchyně!SazbaDPH1</vt:lpstr>
      <vt:lpstr>KL_Stavba_kuchyně!SazbaDPH2</vt:lpstr>
      <vt:lpstr>Vypracoval</vt:lpstr>
      <vt:lpstr>ZakladDPHSni</vt:lpstr>
      <vt:lpstr>KL_SOUČTOVÝ!ZakladDPHSniVypocet</vt:lpstr>
      <vt:lpstr>KL_Stavba_kuchyně!ZakladDPHSniVypocet</vt:lpstr>
      <vt:lpstr>ZakladDPHZakl</vt:lpstr>
      <vt:lpstr>KL_SOUČTOVÝ!ZakladDPHZaklVypocet</vt:lpstr>
      <vt:lpstr>KL_Stavba_kuchyně!ZakladDPHZaklVypocet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Hejpetr</dc:creator>
  <cp:lastModifiedBy>Kateřina Jarošová</cp:lastModifiedBy>
  <cp:lastPrinted>2014-02-28T09:52:57Z</cp:lastPrinted>
  <dcterms:created xsi:type="dcterms:W3CDTF">2009-04-08T07:15:50Z</dcterms:created>
  <dcterms:modified xsi:type="dcterms:W3CDTF">2019-10-11T10:33:14Z</dcterms:modified>
</cp:coreProperties>
</file>